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
    </mc:Choice>
  </mc:AlternateContent>
  <xr:revisionPtr revIDLastSave="0" documentId="8_{54322268-7112-4429-8595-8F02DD5DDAAD}" xr6:coauthVersionLast="47" xr6:coauthVersionMax="47" xr10:uidLastSave="{00000000-0000-0000-0000-000000000000}"/>
  <bookViews>
    <workbookView xWindow="-120" yWindow="-120" windowWidth="29040" windowHeight="15840" tabRatio="884" xr2:uid="{00000000-000D-0000-FFFF-FFFF00000000}"/>
  </bookViews>
  <sheets>
    <sheet name="Inventory" sheetId="19" r:id="rId1"/>
    <sheet name="Log" sheetId="18" r:id="rId2"/>
    <sheet name="HSC CVW 5AC DRRS" sheetId="50" r:id="rId3"/>
    <sheet name="HSC CVW 5AC FDNF DRRS" sheetId="51" r:id="rId4"/>
    <sheet name="HSC EXP 3AC CSG ESG W Kit DRRS" sheetId="30" r:id="rId5"/>
    <sheet name="HSC EXP 1AC MIW DRRS" sheetId="46" r:id="rId6"/>
    <sheet name="HSC EXP 1AC SUW DRRS" sheetId="47" r:id="rId7"/>
    <sheet name="HSC EXP 1AC RFS DRRS" sheetId="31" r:id="rId8"/>
    <sheet name="HSC EXP 4AC RFS DRRS" sheetId="28" r:id="rId9"/>
    <sheet name="HSC EXP 2AC CLF HUM DRRS" sheetId="27" r:id="rId10"/>
    <sheet name="HSC EXP 4AC DRRS (HSC-85)" sheetId="35" r:id="rId11"/>
    <sheet name="HSC HSC-2 FRS (U)" sheetId="49" r:id="rId12"/>
    <sheet name="HSC HSC-3 FRS (U)" sheetId="34" r:id="rId13"/>
    <sheet name="HSC MH-60R TEST_FAS" sheetId="55" r:id="rId14"/>
    <sheet name="HSC MH-60S CVW Reduced Matrix" sheetId="52" r:id="rId15"/>
    <sheet name="HSC EXP MIW Matrix" sheetId="38" r:id="rId16"/>
    <sheet name="HSC EXP SUW Matrix " sheetId="44" r:id="rId17"/>
    <sheet name="HSC EXP 1-4 AC Matrix" sheetId="37" r:id="rId18"/>
    <sheet name="HSC EXP 1-4 AC CLF HUM Matrix" sheetId="45" r:id="rId19"/>
    <sheet name="MH-60S Mission System Summary" sheetId="54" r:id="rId20"/>
    <sheet name="HSC MH-60S Mission Systems" sheetId="53"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9" l="1"/>
  <c r="E13" i="19" s="1"/>
  <c r="C13" i="19"/>
  <c r="A13" i="19"/>
  <c r="C21" i="55"/>
  <c r="C23" i="55" s="1"/>
  <c r="B21" i="55"/>
  <c r="B23" i="55" s="1"/>
  <c r="B18" i="34"/>
  <c r="B18" i="49"/>
  <c r="C22" i="55" l="1"/>
  <c r="B22" i="55"/>
  <c r="D20" i="19"/>
  <c r="E20" i="19" s="1"/>
  <c r="A20" i="19"/>
  <c r="D19" i="19"/>
  <c r="E19" i="19" s="1"/>
  <c r="A19" i="19"/>
  <c r="C2" i="54" l="1"/>
  <c r="D2" i="54"/>
  <c r="E2" i="54"/>
  <c r="F2" i="54"/>
  <c r="G2" i="54"/>
  <c r="H2" i="54"/>
  <c r="I2" i="54"/>
  <c r="J2" i="54"/>
  <c r="B2" i="54"/>
  <c r="J1" i="54"/>
  <c r="H1" i="54"/>
  <c r="G1" i="54"/>
  <c r="F1" i="54"/>
  <c r="E1" i="54"/>
  <c r="D1" i="54"/>
  <c r="C1" i="54"/>
  <c r="B1" i="54"/>
  <c r="B186" i="31" l="1"/>
  <c r="B185" i="47"/>
  <c r="B184" i="46"/>
  <c r="B183" i="30"/>
  <c r="B182" i="51"/>
  <c r="B182" i="50"/>
  <c r="B181" i="35"/>
  <c r="B180" i="27"/>
  <c r="B179" i="28"/>
  <c r="B178" i="31"/>
  <c r="B177" i="47"/>
  <c r="B176" i="30"/>
  <c r="B184" i="47"/>
  <c r="B181" i="51"/>
  <c r="B179" i="27"/>
  <c r="B182" i="28"/>
  <c r="B185" i="31"/>
  <c r="B179" i="46"/>
  <c r="B186" i="27"/>
  <c r="B185" i="28"/>
  <c r="B184" i="31"/>
  <c r="B183" i="47"/>
  <c r="B182" i="46"/>
  <c r="B181" i="30"/>
  <c r="B180" i="51"/>
  <c r="B180" i="50"/>
  <c r="B179" i="35"/>
  <c r="B178" i="27"/>
  <c r="B177" i="28"/>
  <c r="B176" i="47"/>
  <c r="B184" i="35"/>
  <c r="B180" i="47"/>
  <c r="B186" i="35"/>
  <c r="B185" i="27"/>
  <c r="B184" i="28"/>
  <c r="B183" i="31"/>
  <c r="B182" i="47"/>
  <c r="B181" i="46"/>
  <c r="B180" i="30"/>
  <c r="B179" i="51"/>
  <c r="B179" i="50"/>
  <c r="B178" i="35"/>
  <c r="B177" i="27"/>
  <c r="B176" i="31"/>
  <c r="B185" i="50"/>
  <c r="B181" i="31"/>
  <c r="B186" i="51"/>
  <c r="B186" i="50"/>
  <c r="B185" i="35"/>
  <c r="B184" i="27"/>
  <c r="B183" i="28"/>
  <c r="B182" i="31"/>
  <c r="B181" i="47"/>
  <c r="B180" i="46"/>
  <c r="B179" i="30"/>
  <c r="B178" i="51"/>
  <c r="B178" i="50"/>
  <c r="B177" i="35"/>
  <c r="B176" i="28"/>
  <c r="B186" i="30"/>
  <c r="B183" i="27"/>
  <c r="B177" i="50"/>
  <c r="B185" i="51"/>
  <c r="B176" i="27"/>
  <c r="B186" i="46"/>
  <c r="B185" i="30"/>
  <c r="B184" i="51"/>
  <c r="B184" i="50"/>
  <c r="B183" i="35"/>
  <c r="B182" i="27"/>
  <c r="B181" i="28"/>
  <c r="B180" i="31"/>
  <c r="B179" i="47"/>
  <c r="B178" i="46"/>
  <c r="B177" i="30"/>
  <c r="B176" i="50"/>
  <c r="B176" i="35"/>
  <c r="B183" i="46"/>
  <c r="B181" i="50"/>
  <c r="B178" i="28"/>
  <c r="B176" i="46"/>
  <c r="B178" i="30"/>
  <c r="B186" i="47"/>
  <c r="B185" i="46"/>
  <c r="B184" i="30"/>
  <c r="B183" i="51"/>
  <c r="B183" i="50"/>
  <c r="B182" i="35"/>
  <c r="B181" i="27"/>
  <c r="B180" i="28"/>
  <c r="B179" i="31"/>
  <c r="B178" i="47"/>
  <c r="B177" i="46"/>
  <c r="B176" i="51"/>
  <c r="B186" i="28"/>
  <c r="B182" i="30"/>
  <c r="B180" i="35"/>
  <c r="B177" i="31"/>
  <c r="B177" i="51"/>
  <c r="B161" i="35"/>
  <c r="B160" i="35"/>
  <c r="B159" i="35"/>
  <c r="B157" i="35"/>
  <c r="B156" i="35"/>
  <c r="B155" i="35"/>
  <c r="B154" i="35"/>
  <c r="B152" i="35"/>
  <c r="B161" i="27"/>
  <c r="B160" i="27"/>
  <c r="B159" i="27"/>
  <c r="B157" i="27"/>
  <c r="B156" i="27"/>
  <c r="B155" i="27"/>
  <c r="B154" i="27"/>
  <c r="B152" i="27"/>
  <c r="B161" i="28"/>
  <c r="B160" i="28"/>
  <c r="B159" i="28"/>
  <c r="B157" i="28"/>
  <c r="B156" i="28"/>
  <c r="B155" i="28"/>
  <c r="B154" i="28"/>
  <c r="B152" i="28"/>
  <c r="B161" i="31"/>
  <c r="B160" i="31"/>
  <c r="B159" i="31"/>
  <c r="B157" i="31"/>
  <c r="B156" i="31"/>
  <c r="B155" i="31"/>
  <c r="B154" i="31"/>
  <c r="B152" i="31"/>
  <c r="B161" i="47"/>
  <c r="B160" i="47"/>
  <c r="B159" i="47"/>
  <c r="B157" i="47"/>
  <c r="B156" i="47"/>
  <c r="B155" i="47"/>
  <c r="B154" i="47"/>
  <c r="B152" i="47"/>
  <c r="B161" i="46"/>
  <c r="B160" i="46"/>
  <c r="B159" i="46"/>
  <c r="B157" i="46"/>
  <c r="B156" i="46"/>
  <c r="B155" i="46"/>
  <c r="B154" i="46"/>
  <c r="B152" i="46"/>
  <c r="B159" i="30"/>
  <c r="A186" i="30"/>
  <c r="A185" i="30"/>
  <c r="A184" i="30"/>
  <c r="A183" i="30"/>
  <c r="A182" i="30"/>
  <c r="A181" i="30"/>
  <c r="A180" i="30"/>
  <c r="A179" i="30"/>
  <c r="A178" i="30"/>
  <c r="A177" i="30"/>
  <c r="A186" i="46"/>
  <c r="A185" i="46"/>
  <c r="A184" i="46"/>
  <c r="A183" i="46"/>
  <c r="A182" i="46"/>
  <c r="A181" i="46"/>
  <c r="A180" i="46"/>
  <c r="A179" i="46"/>
  <c r="A178" i="46"/>
  <c r="A177" i="46"/>
  <c r="A186" i="47"/>
  <c r="A185" i="47"/>
  <c r="A184" i="47"/>
  <c r="A183" i="47"/>
  <c r="A182" i="47"/>
  <c r="A181" i="47"/>
  <c r="A180" i="47"/>
  <c r="A179" i="47"/>
  <c r="A178" i="47"/>
  <c r="A177" i="47"/>
  <c r="A186" i="31"/>
  <c r="A185" i="31"/>
  <c r="A184" i="31"/>
  <c r="A183" i="31"/>
  <c r="A182" i="31"/>
  <c r="A181" i="31"/>
  <c r="A180" i="31"/>
  <c r="A179" i="31"/>
  <c r="A178" i="31"/>
  <c r="A177" i="31"/>
  <c r="A186" i="28"/>
  <c r="A185" i="28"/>
  <c r="A184" i="28"/>
  <c r="A183" i="28"/>
  <c r="A182" i="28"/>
  <c r="A181" i="28"/>
  <c r="A180" i="28"/>
  <c r="A179" i="28"/>
  <c r="A178" i="28"/>
  <c r="A177" i="28"/>
  <c r="A186" i="27"/>
  <c r="A185" i="27"/>
  <c r="A184" i="27"/>
  <c r="A183" i="27"/>
  <c r="A182" i="27"/>
  <c r="A181" i="27"/>
  <c r="A180" i="27"/>
  <c r="A179" i="27"/>
  <c r="A178" i="27"/>
  <c r="A177" i="27"/>
  <c r="A186" i="35"/>
  <c r="A185" i="35"/>
  <c r="A184" i="35"/>
  <c r="A183" i="35"/>
  <c r="A182" i="35"/>
  <c r="A181" i="35"/>
  <c r="A180" i="35"/>
  <c r="A179" i="35"/>
  <c r="A178" i="35"/>
  <c r="A177" i="35"/>
  <c r="A186" i="51"/>
  <c r="A185" i="51"/>
  <c r="A184" i="51"/>
  <c r="A183" i="51"/>
  <c r="A182" i="51"/>
  <c r="A181" i="51"/>
  <c r="A180" i="51"/>
  <c r="A179" i="51"/>
  <c r="A178" i="51"/>
  <c r="A177" i="51"/>
  <c r="A177" i="50"/>
  <c r="A178" i="50"/>
  <c r="A179" i="50"/>
  <c r="A180" i="50"/>
  <c r="A181" i="50"/>
  <c r="A182" i="50"/>
  <c r="A183" i="50"/>
  <c r="A184" i="50"/>
  <c r="A185" i="50"/>
  <c r="A186" i="50"/>
  <c r="A162" i="30"/>
  <c r="A86" i="51"/>
  <c r="A87" i="51"/>
  <c r="A88" i="51"/>
  <c r="A89" i="51"/>
  <c r="A90" i="51"/>
  <c r="A91" i="51"/>
  <c r="A92" i="51"/>
  <c r="D14" i="19"/>
  <c r="E14" i="19" s="1"/>
  <c r="A14" i="19" l="1"/>
  <c r="C3" i="19"/>
  <c r="C2" i="19"/>
  <c r="D3" i="19"/>
  <c r="E3" i="19" s="1"/>
  <c r="D2" i="19"/>
  <c r="E2" i="19" s="1"/>
  <c r="A3" i="19"/>
  <c r="A2" i="19"/>
  <c r="A172" i="51"/>
  <c r="A171" i="51"/>
  <c r="A170" i="51"/>
  <c r="A169" i="51"/>
  <c r="A168" i="51"/>
  <c r="A167" i="51"/>
  <c r="A166" i="51"/>
  <c r="A165" i="51"/>
  <c r="A164" i="51"/>
  <c r="A163" i="51"/>
  <c r="A162" i="51"/>
  <c r="A161" i="51"/>
  <c r="A160" i="51"/>
  <c r="A159" i="51"/>
  <c r="A158" i="51"/>
  <c r="A157" i="51"/>
  <c r="A156" i="51"/>
  <c r="A155" i="51"/>
  <c r="A154" i="51"/>
  <c r="A153" i="51"/>
  <c r="A152" i="51"/>
  <c r="A151" i="51"/>
  <c r="B105" i="51" a="1"/>
  <c r="B105" i="51" s="1"/>
  <c r="I103" i="51"/>
  <c r="H103" i="51"/>
  <c r="G103" i="51"/>
  <c r="C103" i="51"/>
  <c r="B103" i="51"/>
  <c r="I102" i="51"/>
  <c r="H102" i="51"/>
  <c r="G102" i="51"/>
  <c r="C102" i="51"/>
  <c r="B102" i="51"/>
  <c r="N92" i="51"/>
  <c r="M92" i="51"/>
  <c r="L92" i="51"/>
  <c r="K92" i="51"/>
  <c r="J92" i="51"/>
  <c r="I92" i="51"/>
  <c r="H92" i="51"/>
  <c r="G92" i="51"/>
  <c r="F92" i="51"/>
  <c r="E92" i="51"/>
  <c r="D92" i="51"/>
  <c r="C92" i="51"/>
  <c r="B92" i="51"/>
  <c r="N91" i="51"/>
  <c r="M91" i="51"/>
  <c r="L91" i="51"/>
  <c r="K91" i="51"/>
  <c r="J91" i="51"/>
  <c r="I91" i="51"/>
  <c r="H91" i="51"/>
  <c r="G91" i="51"/>
  <c r="F91" i="51"/>
  <c r="E91" i="51"/>
  <c r="D91" i="51"/>
  <c r="C91" i="51"/>
  <c r="B91" i="51"/>
  <c r="N90" i="51"/>
  <c r="M90" i="51"/>
  <c r="L90" i="51"/>
  <c r="K90" i="51"/>
  <c r="J90" i="51"/>
  <c r="I90" i="51"/>
  <c r="H90" i="51"/>
  <c r="G90" i="51"/>
  <c r="F90" i="51"/>
  <c r="E90" i="51"/>
  <c r="D90" i="51"/>
  <c r="C90" i="51"/>
  <c r="B90" i="51"/>
  <c r="N89" i="51"/>
  <c r="M89" i="51"/>
  <c r="L89" i="51"/>
  <c r="K89" i="51"/>
  <c r="J89" i="51"/>
  <c r="I89" i="51"/>
  <c r="H89" i="51"/>
  <c r="G89" i="51"/>
  <c r="F89" i="51"/>
  <c r="E89" i="51"/>
  <c r="D89" i="51"/>
  <c r="C89" i="51"/>
  <c r="B89" i="51"/>
  <c r="N88" i="51"/>
  <c r="M88" i="51"/>
  <c r="L88" i="51"/>
  <c r="K88" i="51"/>
  <c r="J88" i="51"/>
  <c r="I88" i="51"/>
  <c r="H88" i="51"/>
  <c r="G88" i="51"/>
  <c r="F88" i="51"/>
  <c r="E88" i="51"/>
  <c r="D88" i="51"/>
  <c r="C88" i="51"/>
  <c r="B88" i="51"/>
  <c r="N87" i="51"/>
  <c r="M87" i="51"/>
  <c r="L87" i="51"/>
  <c r="K87" i="51"/>
  <c r="J87" i="51"/>
  <c r="I87" i="51"/>
  <c r="H87" i="51"/>
  <c r="G87" i="51"/>
  <c r="F87" i="51"/>
  <c r="E87" i="51"/>
  <c r="D87" i="51"/>
  <c r="C87" i="51"/>
  <c r="B87" i="51"/>
  <c r="N86" i="51"/>
  <c r="M86" i="51"/>
  <c r="L86" i="51"/>
  <c r="K86" i="51"/>
  <c r="J86" i="51"/>
  <c r="I86" i="51"/>
  <c r="H86" i="51"/>
  <c r="G86" i="51"/>
  <c r="F86" i="51"/>
  <c r="E86" i="51"/>
  <c r="D86" i="51"/>
  <c r="C86" i="51"/>
  <c r="B86" i="51"/>
  <c r="N85" i="51"/>
  <c r="M85" i="51"/>
  <c r="L85" i="51"/>
  <c r="K85" i="51"/>
  <c r="J85" i="51"/>
  <c r="I85" i="51"/>
  <c r="H85" i="51"/>
  <c r="G85" i="51"/>
  <c r="F85" i="51"/>
  <c r="E85" i="51"/>
  <c r="D85" i="51"/>
  <c r="C85" i="51"/>
  <c r="B85" i="51"/>
  <c r="A85" i="51"/>
  <c r="N84" i="51"/>
  <c r="M84" i="51"/>
  <c r="L84" i="51"/>
  <c r="K84" i="51"/>
  <c r="J84" i="51"/>
  <c r="I84" i="51"/>
  <c r="H84" i="51"/>
  <c r="G84" i="51"/>
  <c r="F84" i="51"/>
  <c r="E84" i="51"/>
  <c r="D84" i="51"/>
  <c r="C84" i="51"/>
  <c r="B84" i="51"/>
  <c r="A84" i="51"/>
  <c r="N83" i="51"/>
  <c r="M83" i="51"/>
  <c r="L83" i="51"/>
  <c r="K83" i="51"/>
  <c r="J83" i="51"/>
  <c r="I83" i="51"/>
  <c r="H83" i="51"/>
  <c r="G83" i="51"/>
  <c r="F83" i="51"/>
  <c r="E83" i="51"/>
  <c r="D83" i="51"/>
  <c r="C83" i="51"/>
  <c r="B83" i="51"/>
  <c r="A83" i="51"/>
  <c r="N82" i="51"/>
  <c r="M82" i="51"/>
  <c r="L82" i="51"/>
  <c r="K82" i="51"/>
  <c r="J82" i="51"/>
  <c r="I82" i="51"/>
  <c r="H82" i="51"/>
  <c r="G82" i="51"/>
  <c r="F82" i="51"/>
  <c r="E82" i="51"/>
  <c r="D82" i="51"/>
  <c r="C82" i="51"/>
  <c r="B82" i="51"/>
  <c r="A82" i="51"/>
  <c r="N81" i="51"/>
  <c r="M81" i="51"/>
  <c r="L81" i="51"/>
  <c r="K81" i="51"/>
  <c r="J81" i="51"/>
  <c r="I81" i="51"/>
  <c r="H81" i="51"/>
  <c r="G81" i="51"/>
  <c r="F81" i="51"/>
  <c r="E81" i="51"/>
  <c r="D81" i="51"/>
  <c r="C81" i="51"/>
  <c r="B81" i="51"/>
  <c r="A81" i="51"/>
  <c r="N80" i="51"/>
  <c r="M80" i="51"/>
  <c r="L80" i="51"/>
  <c r="K80" i="51"/>
  <c r="J80" i="51"/>
  <c r="I80" i="51"/>
  <c r="H80" i="51"/>
  <c r="G80" i="51"/>
  <c r="F80" i="51"/>
  <c r="E80" i="51"/>
  <c r="D80" i="51"/>
  <c r="C80" i="51"/>
  <c r="B80" i="51"/>
  <c r="A80" i="51"/>
  <c r="N79" i="51"/>
  <c r="M79" i="51"/>
  <c r="L79" i="51"/>
  <c r="K79" i="51"/>
  <c r="J79" i="51"/>
  <c r="I79" i="51"/>
  <c r="H79" i="51"/>
  <c r="G79" i="51"/>
  <c r="F79" i="51"/>
  <c r="E79" i="51"/>
  <c r="D79" i="51"/>
  <c r="C79" i="51"/>
  <c r="B79" i="51"/>
  <c r="A79" i="51"/>
  <c r="N78" i="51"/>
  <c r="M78" i="51"/>
  <c r="L78" i="51"/>
  <c r="K78" i="51"/>
  <c r="J78" i="51"/>
  <c r="I78" i="51"/>
  <c r="H78" i="51"/>
  <c r="G78" i="51"/>
  <c r="F78" i="51"/>
  <c r="E78" i="51"/>
  <c r="D78" i="51"/>
  <c r="C78" i="51"/>
  <c r="B78" i="51"/>
  <c r="A78" i="51"/>
  <c r="N77" i="51"/>
  <c r="M77" i="51"/>
  <c r="L77" i="51"/>
  <c r="K77" i="51"/>
  <c r="J77" i="51"/>
  <c r="I77" i="51"/>
  <c r="H77" i="51"/>
  <c r="G77" i="51"/>
  <c r="F77" i="51"/>
  <c r="E77" i="51"/>
  <c r="D77" i="51"/>
  <c r="C77" i="51"/>
  <c r="B77" i="51"/>
  <c r="A77" i="51"/>
  <c r="N76" i="51"/>
  <c r="M76" i="51"/>
  <c r="L76" i="51"/>
  <c r="K76" i="51"/>
  <c r="J76" i="51"/>
  <c r="I76" i="51"/>
  <c r="H76" i="51"/>
  <c r="G76" i="51"/>
  <c r="F76" i="51"/>
  <c r="E76" i="51"/>
  <c r="D76" i="51"/>
  <c r="C76" i="51"/>
  <c r="B76" i="51"/>
  <c r="A76" i="51"/>
  <c r="N75" i="51"/>
  <c r="M75" i="51"/>
  <c r="L75" i="51"/>
  <c r="K75" i="51"/>
  <c r="J75" i="51"/>
  <c r="I75" i="51"/>
  <c r="H75" i="51"/>
  <c r="G75" i="51"/>
  <c r="F75" i="51"/>
  <c r="E75" i="51"/>
  <c r="D75" i="51"/>
  <c r="C75" i="51"/>
  <c r="B75" i="51"/>
  <c r="A75" i="51"/>
  <c r="N74" i="51"/>
  <c r="M74" i="51"/>
  <c r="L74" i="51"/>
  <c r="K74" i="51"/>
  <c r="J74" i="51"/>
  <c r="I74" i="51"/>
  <c r="H74" i="51"/>
  <c r="G74" i="51"/>
  <c r="F74" i="51"/>
  <c r="E74" i="51"/>
  <c r="D74" i="51"/>
  <c r="C74" i="51"/>
  <c r="B74" i="51"/>
  <c r="A74" i="51"/>
  <c r="N73" i="51"/>
  <c r="M73" i="51"/>
  <c r="L73" i="51"/>
  <c r="K73" i="51"/>
  <c r="J73" i="51"/>
  <c r="I73" i="51"/>
  <c r="H73" i="51"/>
  <c r="G73" i="51"/>
  <c r="F73" i="51"/>
  <c r="E73" i="51"/>
  <c r="D73" i="51"/>
  <c r="C73" i="51"/>
  <c r="B73" i="51"/>
  <c r="A73" i="51"/>
  <c r="N72" i="51"/>
  <c r="M72" i="51"/>
  <c r="L72" i="51"/>
  <c r="K72" i="51"/>
  <c r="J72" i="51"/>
  <c r="I72" i="51"/>
  <c r="H72" i="51"/>
  <c r="G72" i="51"/>
  <c r="F72" i="51"/>
  <c r="E72" i="51"/>
  <c r="D72" i="51"/>
  <c r="C72" i="51"/>
  <c r="B72" i="51"/>
  <c r="A72" i="51"/>
  <c r="N71" i="51"/>
  <c r="M71" i="51"/>
  <c r="L71" i="51"/>
  <c r="K71" i="51"/>
  <c r="J71" i="51"/>
  <c r="I71" i="51"/>
  <c r="H71" i="51"/>
  <c r="G71" i="51"/>
  <c r="F71" i="51"/>
  <c r="E71" i="51"/>
  <c r="D71" i="51"/>
  <c r="C71" i="51"/>
  <c r="B71" i="51"/>
  <c r="A71" i="51"/>
  <c r="N70" i="51"/>
  <c r="M70" i="51"/>
  <c r="L70" i="51"/>
  <c r="K70" i="51"/>
  <c r="J70" i="51"/>
  <c r="I70" i="51"/>
  <c r="H70" i="51"/>
  <c r="G70" i="51"/>
  <c r="F70" i="51"/>
  <c r="E70" i="51"/>
  <c r="D70" i="51"/>
  <c r="C70" i="51"/>
  <c r="B70" i="51"/>
  <c r="A70" i="51"/>
  <c r="N69" i="51"/>
  <c r="M69" i="51"/>
  <c r="L69" i="51"/>
  <c r="K69" i="51"/>
  <c r="J69" i="51"/>
  <c r="I69" i="51"/>
  <c r="H69" i="51"/>
  <c r="G69" i="51"/>
  <c r="F69" i="51"/>
  <c r="E69" i="51"/>
  <c r="D69" i="51"/>
  <c r="C69" i="51"/>
  <c r="B69" i="51"/>
  <c r="A69" i="51"/>
  <c r="N68" i="51"/>
  <c r="M68" i="51"/>
  <c r="L68" i="51"/>
  <c r="K68" i="51"/>
  <c r="J68" i="51"/>
  <c r="I68" i="51"/>
  <c r="H68" i="51"/>
  <c r="G68" i="51"/>
  <c r="F68" i="51"/>
  <c r="E68" i="51"/>
  <c r="D68" i="51"/>
  <c r="C68" i="51"/>
  <c r="B68" i="51"/>
  <c r="A68" i="51"/>
  <c r="N67" i="51"/>
  <c r="M67" i="51"/>
  <c r="L67" i="51"/>
  <c r="K67" i="51"/>
  <c r="J67" i="51"/>
  <c r="I67" i="51"/>
  <c r="H67" i="51"/>
  <c r="G67" i="51"/>
  <c r="F67" i="51"/>
  <c r="E67" i="51"/>
  <c r="D67" i="51"/>
  <c r="C67" i="51"/>
  <c r="B67" i="51"/>
  <c r="A67" i="51"/>
  <c r="N66" i="51"/>
  <c r="M66" i="51"/>
  <c r="L66" i="51"/>
  <c r="K66" i="51"/>
  <c r="J66" i="51"/>
  <c r="I66" i="51"/>
  <c r="H66" i="51"/>
  <c r="G66" i="51"/>
  <c r="F66" i="51"/>
  <c r="E66" i="51"/>
  <c r="D66" i="51"/>
  <c r="C66" i="51"/>
  <c r="B66" i="51"/>
  <c r="A66" i="51"/>
  <c r="N65" i="51"/>
  <c r="M65" i="51"/>
  <c r="L65" i="51"/>
  <c r="K65" i="51"/>
  <c r="J65" i="51"/>
  <c r="I65" i="51"/>
  <c r="H65" i="51"/>
  <c r="G65" i="51"/>
  <c r="F65" i="51"/>
  <c r="E65" i="51"/>
  <c r="D65" i="51"/>
  <c r="C65" i="51"/>
  <c r="B65" i="51"/>
  <c r="A65" i="51"/>
  <c r="N64" i="51"/>
  <c r="M64" i="51"/>
  <c r="L64" i="51"/>
  <c r="K64" i="51"/>
  <c r="J64" i="51"/>
  <c r="I64" i="51"/>
  <c r="H64" i="51"/>
  <c r="G64" i="51"/>
  <c r="F64" i="51"/>
  <c r="E64" i="51"/>
  <c r="D64" i="51"/>
  <c r="C64" i="51"/>
  <c r="B64" i="51"/>
  <c r="A64" i="51"/>
  <c r="N63" i="51"/>
  <c r="M63" i="51"/>
  <c r="L63" i="51"/>
  <c r="K63" i="51"/>
  <c r="J63" i="51"/>
  <c r="I63" i="51"/>
  <c r="H63" i="51"/>
  <c r="G63" i="51"/>
  <c r="F63" i="51"/>
  <c r="E63" i="51"/>
  <c r="D63" i="51"/>
  <c r="C63" i="51"/>
  <c r="B63" i="51"/>
  <c r="A63" i="51"/>
  <c r="N62" i="51"/>
  <c r="M62" i="51"/>
  <c r="L62" i="51"/>
  <c r="K62" i="51"/>
  <c r="J62" i="51"/>
  <c r="I62" i="51"/>
  <c r="H62" i="51"/>
  <c r="G62" i="51"/>
  <c r="F62" i="51"/>
  <c r="E62" i="51"/>
  <c r="D62" i="51"/>
  <c r="C62" i="51"/>
  <c r="B62" i="51"/>
  <c r="A62" i="51"/>
  <c r="N61" i="51"/>
  <c r="M61" i="51"/>
  <c r="L61" i="51"/>
  <c r="K61" i="51"/>
  <c r="J61" i="51"/>
  <c r="I61" i="51"/>
  <c r="H61" i="51"/>
  <c r="G61" i="51"/>
  <c r="F61" i="51"/>
  <c r="E61" i="51"/>
  <c r="D61" i="51"/>
  <c r="C61" i="51"/>
  <c r="B61" i="51"/>
  <c r="A61" i="51"/>
  <c r="N56" i="51"/>
  <c r="M56" i="51"/>
  <c r="L56" i="51"/>
  <c r="K56" i="51"/>
  <c r="J56" i="51"/>
  <c r="I56" i="51"/>
  <c r="H56" i="51"/>
  <c r="G56" i="51"/>
  <c r="F56" i="51"/>
  <c r="E56" i="51"/>
  <c r="D56" i="51"/>
  <c r="C56" i="51"/>
  <c r="B56" i="51"/>
  <c r="N54" i="51"/>
  <c r="M54" i="51"/>
  <c r="L54" i="51"/>
  <c r="K54" i="51"/>
  <c r="J54" i="51"/>
  <c r="I54" i="51"/>
  <c r="H54" i="51"/>
  <c r="G54" i="51"/>
  <c r="F54" i="51"/>
  <c r="E54" i="51"/>
  <c r="D54" i="51"/>
  <c r="C54" i="51"/>
  <c r="B54" i="51"/>
  <c r="N52" i="51"/>
  <c r="M52" i="51"/>
  <c r="L52" i="51"/>
  <c r="K52" i="51"/>
  <c r="J52" i="51"/>
  <c r="I52" i="51"/>
  <c r="H52" i="51"/>
  <c r="G52" i="51"/>
  <c r="F52" i="51"/>
  <c r="E52" i="51"/>
  <c r="D52" i="51"/>
  <c r="C52" i="51"/>
  <c r="B52" i="51"/>
  <c r="N50" i="51"/>
  <c r="M50" i="51"/>
  <c r="L50" i="51"/>
  <c r="K50" i="51"/>
  <c r="J50" i="51"/>
  <c r="I50" i="51"/>
  <c r="H50" i="51"/>
  <c r="G50" i="51"/>
  <c r="F50" i="51"/>
  <c r="E50" i="51"/>
  <c r="D50" i="51"/>
  <c r="C50" i="51"/>
  <c r="B50" i="51"/>
  <c r="N35" i="51"/>
  <c r="M35" i="51"/>
  <c r="L35" i="51"/>
  <c r="K35" i="51"/>
  <c r="J35" i="51"/>
  <c r="I35" i="51"/>
  <c r="H35" i="51"/>
  <c r="G35" i="51"/>
  <c r="F35" i="51"/>
  <c r="E35" i="51"/>
  <c r="D35" i="51"/>
  <c r="C35" i="51"/>
  <c r="B35" i="51"/>
  <c r="N33" i="51"/>
  <c r="N36" i="51" s="1"/>
  <c r="M33" i="51"/>
  <c r="L33" i="51"/>
  <c r="L36" i="51" s="1"/>
  <c r="K33" i="51"/>
  <c r="J33" i="51"/>
  <c r="I33" i="51"/>
  <c r="H33" i="51"/>
  <c r="G33" i="51"/>
  <c r="F33" i="51"/>
  <c r="E33" i="51"/>
  <c r="E59" i="51" s="1"/>
  <c r="D33" i="51"/>
  <c r="D59" i="51" s="1"/>
  <c r="C33" i="51"/>
  <c r="B33" i="51"/>
  <c r="B59" i="51" s="1"/>
  <c r="I30" i="51"/>
  <c r="H30" i="51"/>
  <c r="G30" i="51"/>
  <c r="C30" i="51"/>
  <c r="B30" i="51"/>
  <c r="I26" i="51"/>
  <c r="H26" i="51"/>
  <c r="G26" i="51"/>
  <c r="C26" i="51"/>
  <c r="B26" i="51"/>
  <c r="N24" i="51"/>
  <c r="M24" i="51"/>
  <c r="L24" i="51"/>
  <c r="K24" i="51"/>
  <c r="J24" i="51"/>
  <c r="F24" i="51"/>
  <c r="E24" i="51"/>
  <c r="D24" i="51"/>
  <c r="M18" i="51"/>
  <c r="L18" i="51"/>
  <c r="K18" i="51"/>
  <c r="J18" i="51"/>
  <c r="I18" i="51"/>
  <c r="H18" i="51"/>
  <c r="G18" i="51"/>
  <c r="F18" i="51"/>
  <c r="E18" i="51"/>
  <c r="D18" i="51"/>
  <c r="C18" i="51"/>
  <c r="B18" i="51"/>
  <c r="B11" i="51"/>
  <c r="E30" i="51" s="1"/>
  <c r="B10" i="51"/>
  <c r="C24" i="51" s="1"/>
  <c r="B9" i="51"/>
  <c r="H23" i="51" s="1"/>
  <c r="B7" i="51"/>
  <c r="B8" i="51" s="1"/>
  <c r="B3" i="51"/>
  <c r="A172" i="50"/>
  <c r="A171" i="50"/>
  <c r="A170" i="50"/>
  <c r="A169" i="50"/>
  <c r="A168" i="50"/>
  <c r="A167" i="50"/>
  <c r="A166" i="50"/>
  <c r="A165" i="50"/>
  <c r="A164" i="50"/>
  <c r="A163" i="50"/>
  <c r="A162" i="50"/>
  <c r="A161" i="50"/>
  <c r="A160" i="50"/>
  <c r="A159" i="50"/>
  <c r="A158" i="50"/>
  <c r="A157" i="50"/>
  <c r="A156" i="50"/>
  <c r="A155" i="50"/>
  <c r="A154" i="50"/>
  <c r="A153" i="50"/>
  <c r="A152" i="50"/>
  <c r="A151" i="50"/>
  <c r="B105" i="50" a="1"/>
  <c r="B105" i="50" s="1"/>
  <c r="W103" i="50"/>
  <c r="V103" i="50"/>
  <c r="U103" i="50"/>
  <c r="T103" i="50"/>
  <c r="S103" i="50"/>
  <c r="R103" i="50"/>
  <c r="W102" i="50"/>
  <c r="V102" i="50"/>
  <c r="U102" i="50"/>
  <c r="T102" i="50"/>
  <c r="S102" i="50"/>
  <c r="R102" i="50"/>
  <c r="AC92" i="50"/>
  <c r="AB92" i="50"/>
  <c r="AA92" i="50"/>
  <c r="Z92" i="50"/>
  <c r="Y92" i="50"/>
  <c r="X92" i="50"/>
  <c r="W92" i="50"/>
  <c r="V92" i="50"/>
  <c r="U92" i="50"/>
  <c r="T92" i="50"/>
  <c r="S92" i="50"/>
  <c r="R92" i="50"/>
  <c r="Q92" i="50"/>
  <c r="P92" i="50"/>
  <c r="O92" i="50"/>
  <c r="N92" i="50"/>
  <c r="M92" i="50"/>
  <c r="L92" i="50"/>
  <c r="K92" i="50"/>
  <c r="J92" i="50"/>
  <c r="I92" i="50"/>
  <c r="H92" i="50"/>
  <c r="G92" i="50"/>
  <c r="F92" i="50"/>
  <c r="E92" i="50"/>
  <c r="D92" i="50"/>
  <c r="C92" i="50"/>
  <c r="B92" i="50"/>
  <c r="A92" i="50"/>
  <c r="AC91" i="50"/>
  <c r="AB91" i="50"/>
  <c r="AA91" i="50"/>
  <c r="Z91" i="50"/>
  <c r="Y91" i="50"/>
  <c r="X91" i="50"/>
  <c r="W91" i="50"/>
  <c r="V91" i="50"/>
  <c r="U91" i="50"/>
  <c r="T91" i="50"/>
  <c r="S91" i="50"/>
  <c r="R91" i="50"/>
  <c r="Q91" i="50"/>
  <c r="P91" i="50"/>
  <c r="O91" i="50"/>
  <c r="N91" i="50"/>
  <c r="M91" i="50"/>
  <c r="L91" i="50"/>
  <c r="K91" i="50"/>
  <c r="J91" i="50"/>
  <c r="I91" i="50"/>
  <c r="H91" i="50"/>
  <c r="G91" i="50"/>
  <c r="F91" i="50"/>
  <c r="E91" i="50"/>
  <c r="D91" i="50"/>
  <c r="C91" i="50"/>
  <c r="B91" i="50"/>
  <c r="A91" i="50"/>
  <c r="AC90" i="50"/>
  <c r="AB90" i="50"/>
  <c r="AA90" i="50"/>
  <c r="Z90" i="50"/>
  <c r="Y90" i="50"/>
  <c r="X90" i="50"/>
  <c r="W90" i="50"/>
  <c r="V90" i="50"/>
  <c r="U90" i="50"/>
  <c r="T90" i="50"/>
  <c r="S90" i="50"/>
  <c r="R90" i="50"/>
  <c r="Q90" i="50"/>
  <c r="P90" i="50"/>
  <c r="O90" i="50"/>
  <c r="N90" i="50"/>
  <c r="M90" i="50"/>
  <c r="L90" i="50"/>
  <c r="K90" i="50"/>
  <c r="J90" i="50"/>
  <c r="I90" i="50"/>
  <c r="H90" i="50"/>
  <c r="G90" i="50"/>
  <c r="F90" i="50"/>
  <c r="E90" i="50"/>
  <c r="D90" i="50"/>
  <c r="C90" i="50"/>
  <c r="B90" i="50"/>
  <c r="A90" i="50"/>
  <c r="AC89" i="50"/>
  <c r="AB89" i="50"/>
  <c r="AA89" i="50"/>
  <c r="Z89" i="50"/>
  <c r="Y89" i="50"/>
  <c r="X89" i="50"/>
  <c r="W89" i="50"/>
  <c r="V89" i="50"/>
  <c r="U89" i="50"/>
  <c r="T89" i="50"/>
  <c r="S89" i="50"/>
  <c r="R89" i="50"/>
  <c r="Q89" i="50"/>
  <c r="P89" i="50"/>
  <c r="O89" i="50"/>
  <c r="N89" i="50"/>
  <c r="M89" i="50"/>
  <c r="L89" i="50"/>
  <c r="K89" i="50"/>
  <c r="J89" i="50"/>
  <c r="I89" i="50"/>
  <c r="H89" i="50"/>
  <c r="G89" i="50"/>
  <c r="F89" i="50"/>
  <c r="E89" i="50"/>
  <c r="D89" i="50"/>
  <c r="C89" i="50"/>
  <c r="B89" i="50"/>
  <c r="A89" i="50"/>
  <c r="AC88" i="50"/>
  <c r="AB88" i="50"/>
  <c r="AA88" i="50"/>
  <c r="Z88" i="50"/>
  <c r="Y88" i="50"/>
  <c r="X88" i="50"/>
  <c r="W88" i="50"/>
  <c r="V88" i="50"/>
  <c r="U88" i="50"/>
  <c r="T88" i="50"/>
  <c r="S88" i="50"/>
  <c r="R88" i="50"/>
  <c r="Q88" i="50"/>
  <c r="P88" i="50"/>
  <c r="O88" i="50"/>
  <c r="N88" i="50"/>
  <c r="M88" i="50"/>
  <c r="L88" i="50"/>
  <c r="K88" i="50"/>
  <c r="J88" i="50"/>
  <c r="I88" i="50"/>
  <c r="H88" i="50"/>
  <c r="G88" i="50"/>
  <c r="F88" i="50"/>
  <c r="E88" i="50"/>
  <c r="D88" i="50"/>
  <c r="C88" i="50"/>
  <c r="B88" i="50"/>
  <c r="A88" i="50"/>
  <c r="AC87" i="50"/>
  <c r="AB87" i="50"/>
  <c r="AA87" i="50"/>
  <c r="Z87" i="50"/>
  <c r="Y87" i="50"/>
  <c r="X87" i="50"/>
  <c r="W87" i="50"/>
  <c r="V87" i="50"/>
  <c r="U87" i="50"/>
  <c r="T87" i="50"/>
  <c r="S87" i="50"/>
  <c r="R87" i="50"/>
  <c r="Q87" i="50"/>
  <c r="P87" i="50"/>
  <c r="O87" i="50"/>
  <c r="N87" i="50"/>
  <c r="M87" i="50"/>
  <c r="L87" i="50"/>
  <c r="K87" i="50"/>
  <c r="J87" i="50"/>
  <c r="I87" i="50"/>
  <c r="H87" i="50"/>
  <c r="G87" i="50"/>
  <c r="F87" i="50"/>
  <c r="E87" i="50"/>
  <c r="D87" i="50"/>
  <c r="C87" i="50"/>
  <c r="B87" i="50"/>
  <c r="A87" i="50"/>
  <c r="AC86" i="50"/>
  <c r="AB86" i="50"/>
  <c r="AA86" i="50"/>
  <c r="Z86" i="50"/>
  <c r="Y86" i="50"/>
  <c r="X86" i="50"/>
  <c r="W86" i="50"/>
  <c r="V86" i="50"/>
  <c r="U86" i="50"/>
  <c r="T86" i="50"/>
  <c r="S86" i="50"/>
  <c r="R86" i="50"/>
  <c r="Q86" i="50"/>
  <c r="P86" i="50"/>
  <c r="O86" i="50"/>
  <c r="N86" i="50"/>
  <c r="M86" i="50"/>
  <c r="L86" i="50"/>
  <c r="K86" i="50"/>
  <c r="J86" i="50"/>
  <c r="I86" i="50"/>
  <c r="H86" i="50"/>
  <c r="G86" i="50"/>
  <c r="F86" i="50"/>
  <c r="E86" i="50"/>
  <c r="D86" i="50"/>
  <c r="C86" i="50"/>
  <c r="B86" i="50"/>
  <c r="A86" i="50"/>
  <c r="AC85" i="50"/>
  <c r="AB85" i="50"/>
  <c r="AA85" i="50"/>
  <c r="Z85" i="50"/>
  <c r="Y85" i="50"/>
  <c r="X85" i="50"/>
  <c r="W85" i="50"/>
  <c r="V85" i="50"/>
  <c r="U85" i="50"/>
  <c r="T85" i="50"/>
  <c r="S85" i="50"/>
  <c r="R85" i="50"/>
  <c r="Q85" i="50"/>
  <c r="P85" i="50"/>
  <c r="O85" i="50"/>
  <c r="N85" i="50"/>
  <c r="M85" i="50"/>
  <c r="L85" i="50"/>
  <c r="K85" i="50"/>
  <c r="J85" i="50"/>
  <c r="I85" i="50"/>
  <c r="H85" i="50"/>
  <c r="G85" i="50"/>
  <c r="F85" i="50"/>
  <c r="E85" i="50"/>
  <c r="D85" i="50"/>
  <c r="C85" i="50"/>
  <c r="B85" i="50"/>
  <c r="A85" i="50"/>
  <c r="AC84" i="50"/>
  <c r="AB84" i="50"/>
  <c r="AA84" i="50"/>
  <c r="Z84" i="50"/>
  <c r="Y84" i="50"/>
  <c r="X84" i="50"/>
  <c r="W84" i="50"/>
  <c r="V84" i="50"/>
  <c r="U84" i="50"/>
  <c r="T84" i="50"/>
  <c r="S84" i="50"/>
  <c r="R84" i="50"/>
  <c r="Q84" i="50"/>
  <c r="P84" i="50"/>
  <c r="O84" i="50"/>
  <c r="N84" i="50"/>
  <c r="M84" i="50"/>
  <c r="L84" i="50"/>
  <c r="K84" i="50"/>
  <c r="J84" i="50"/>
  <c r="I84" i="50"/>
  <c r="H84" i="50"/>
  <c r="G84" i="50"/>
  <c r="F84" i="50"/>
  <c r="E84" i="50"/>
  <c r="D84" i="50"/>
  <c r="C84" i="50"/>
  <c r="B84" i="50"/>
  <c r="A84" i="50"/>
  <c r="AC83" i="50"/>
  <c r="AB83" i="50"/>
  <c r="AA83" i="50"/>
  <c r="Z83" i="50"/>
  <c r="Y83" i="50"/>
  <c r="X83" i="50"/>
  <c r="W83" i="50"/>
  <c r="V83" i="50"/>
  <c r="U83" i="50"/>
  <c r="T83" i="50"/>
  <c r="S83" i="50"/>
  <c r="R83" i="50"/>
  <c r="Q83" i="50"/>
  <c r="P83" i="50"/>
  <c r="O83" i="50"/>
  <c r="N83" i="50"/>
  <c r="M83" i="50"/>
  <c r="L83" i="50"/>
  <c r="K83" i="50"/>
  <c r="J83" i="50"/>
  <c r="I83" i="50"/>
  <c r="H83" i="50"/>
  <c r="G83" i="50"/>
  <c r="F83" i="50"/>
  <c r="E83" i="50"/>
  <c r="D83" i="50"/>
  <c r="C83" i="50"/>
  <c r="B83" i="50"/>
  <c r="A83" i="50"/>
  <c r="AC82" i="50"/>
  <c r="AB82" i="50"/>
  <c r="AA82" i="50"/>
  <c r="Z82" i="50"/>
  <c r="Y82" i="50"/>
  <c r="X82" i="50"/>
  <c r="W82" i="50"/>
  <c r="V82" i="50"/>
  <c r="U82" i="50"/>
  <c r="T82" i="50"/>
  <c r="S82" i="50"/>
  <c r="R82" i="50"/>
  <c r="Q82" i="50"/>
  <c r="P82" i="50"/>
  <c r="O82" i="50"/>
  <c r="N82" i="50"/>
  <c r="M82" i="50"/>
  <c r="L82" i="50"/>
  <c r="K82" i="50"/>
  <c r="J82" i="50"/>
  <c r="I82" i="50"/>
  <c r="H82" i="50"/>
  <c r="G82" i="50"/>
  <c r="F82" i="50"/>
  <c r="E82" i="50"/>
  <c r="D82" i="50"/>
  <c r="C82" i="50"/>
  <c r="B82" i="50"/>
  <c r="A82" i="50"/>
  <c r="AC81" i="50"/>
  <c r="AB81" i="50"/>
  <c r="AA81" i="50"/>
  <c r="Z81" i="50"/>
  <c r="Y81" i="50"/>
  <c r="X81" i="50"/>
  <c r="W81" i="50"/>
  <c r="V81" i="50"/>
  <c r="U81" i="50"/>
  <c r="T81" i="50"/>
  <c r="S81" i="50"/>
  <c r="R81" i="50"/>
  <c r="Q81" i="50"/>
  <c r="P81" i="50"/>
  <c r="O81" i="50"/>
  <c r="N81" i="50"/>
  <c r="M81" i="50"/>
  <c r="L81" i="50"/>
  <c r="K81" i="50"/>
  <c r="J81" i="50"/>
  <c r="I81" i="50"/>
  <c r="H81" i="50"/>
  <c r="G81" i="50"/>
  <c r="F81" i="50"/>
  <c r="E81" i="50"/>
  <c r="D81" i="50"/>
  <c r="C81" i="50"/>
  <c r="B81" i="50"/>
  <c r="A81" i="50"/>
  <c r="AC80" i="50"/>
  <c r="AB80" i="50"/>
  <c r="AA80" i="50"/>
  <c r="Z80" i="50"/>
  <c r="Y80" i="50"/>
  <c r="X80" i="50"/>
  <c r="W80" i="50"/>
  <c r="V80" i="50"/>
  <c r="U80" i="50"/>
  <c r="T80" i="50"/>
  <c r="S80" i="50"/>
  <c r="R80" i="50"/>
  <c r="Q80" i="50"/>
  <c r="P80" i="50"/>
  <c r="O80" i="50"/>
  <c r="N80" i="50"/>
  <c r="M80" i="50"/>
  <c r="L80" i="50"/>
  <c r="K80" i="50"/>
  <c r="J80" i="50"/>
  <c r="I80" i="50"/>
  <c r="H80" i="50"/>
  <c r="G80" i="50"/>
  <c r="F80" i="50"/>
  <c r="E80" i="50"/>
  <c r="D80" i="50"/>
  <c r="C80" i="50"/>
  <c r="B80" i="50"/>
  <c r="A80" i="50"/>
  <c r="AC79" i="50"/>
  <c r="AB79" i="50"/>
  <c r="AA79" i="50"/>
  <c r="Z79" i="50"/>
  <c r="Y79" i="50"/>
  <c r="X79" i="50"/>
  <c r="W79" i="50"/>
  <c r="V79" i="50"/>
  <c r="U79" i="50"/>
  <c r="T79" i="50"/>
  <c r="S79" i="50"/>
  <c r="R79" i="50"/>
  <c r="Q79" i="50"/>
  <c r="P79" i="50"/>
  <c r="O79" i="50"/>
  <c r="N79" i="50"/>
  <c r="M79" i="50"/>
  <c r="L79" i="50"/>
  <c r="K79" i="50"/>
  <c r="J79" i="50"/>
  <c r="I79" i="50"/>
  <c r="H79" i="50"/>
  <c r="G79" i="50"/>
  <c r="F79" i="50"/>
  <c r="E79" i="50"/>
  <c r="D79" i="50"/>
  <c r="C79" i="50"/>
  <c r="B79" i="50"/>
  <c r="A79" i="50"/>
  <c r="AC78" i="50"/>
  <c r="AB78" i="50"/>
  <c r="AA78" i="50"/>
  <c r="Z78" i="50"/>
  <c r="Y78" i="50"/>
  <c r="X78" i="50"/>
  <c r="W78" i="50"/>
  <c r="V78" i="50"/>
  <c r="U78" i="50"/>
  <c r="T78" i="50"/>
  <c r="S78" i="50"/>
  <c r="R78" i="50"/>
  <c r="Q78" i="50"/>
  <c r="P78" i="50"/>
  <c r="O78" i="50"/>
  <c r="N78" i="50"/>
  <c r="M78" i="50"/>
  <c r="L78" i="50"/>
  <c r="K78" i="50"/>
  <c r="J78" i="50"/>
  <c r="I78" i="50"/>
  <c r="H78" i="50"/>
  <c r="G78" i="50"/>
  <c r="F78" i="50"/>
  <c r="E78" i="50"/>
  <c r="D78" i="50"/>
  <c r="C78" i="50"/>
  <c r="B78" i="50"/>
  <c r="A78" i="50"/>
  <c r="AC77" i="50"/>
  <c r="AB77" i="50"/>
  <c r="AA77" i="50"/>
  <c r="Z77" i="50"/>
  <c r="Y77" i="50"/>
  <c r="X77" i="50"/>
  <c r="W77" i="50"/>
  <c r="V77" i="50"/>
  <c r="U77" i="50"/>
  <c r="T77" i="50"/>
  <c r="S77" i="50"/>
  <c r="R77" i="50"/>
  <c r="Q77" i="50"/>
  <c r="P77" i="50"/>
  <c r="O77" i="50"/>
  <c r="N77" i="50"/>
  <c r="M77" i="50"/>
  <c r="L77" i="50"/>
  <c r="K77" i="50"/>
  <c r="J77" i="50"/>
  <c r="I77" i="50"/>
  <c r="H77" i="50"/>
  <c r="G77" i="50"/>
  <c r="F77" i="50"/>
  <c r="E77" i="50"/>
  <c r="D77" i="50"/>
  <c r="C77" i="50"/>
  <c r="B77" i="50"/>
  <c r="A77" i="50"/>
  <c r="AC76" i="50"/>
  <c r="AB76" i="50"/>
  <c r="AA76" i="50"/>
  <c r="Z76" i="50"/>
  <c r="Y76" i="50"/>
  <c r="X76" i="50"/>
  <c r="W76" i="50"/>
  <c r="V76" i="50"/>
  <c r="U76" i="50"/>
  <c r="T76" i="50"/>
  <c r="S76" i="50"/>
  <c r="R76" i="50"/>
  <c r="Q76" i="50"/>
  <c r="P76" i="50"/>
  <c r="O76" i="50"/>
  <c r="N76" i="50"/>
  <c r="M76" i="50"/>
  <c r="L76" i="50"/>
  <c r="K76" i="50"/>
  <c r="J76" i="50"/>
  <c r="I76" i="50"/>
  <c r="H76" i="50"/>
  <c r="G76" i="50"/>
  <c r="F76" i="50"/>
  <c r="E76" i="50"/>
  <c r="D76" i="50"/>
  <c r="C76" i="50"/>
  <c r="B76" i="50"/>
  <c r="A76" i="50"/>
  <c r="AC75" i="50"/>
  <c r="AB75" i="50"/>
  <c r="AA75" i="50"/>
  <c r="Z75" i="50"/>
  <c r="Y75" i="50"/>
  <c r="X75" i="50"/>
  <c r="W75" i="50"/>
  <c r="V75" i="50"/>
  <c r="U75" i="50"/>
  <c r="T75" i="50"/>
  <c r="S75" i="50"/>
  <c r="R75" i="50"/>
  <c r="Q75" i="50"/>
  <c r="P75" i="50"/>
  <c r="O75" i="50"/>
  <c r="N75" i="50"/>
  <c r="M75" i="50"/>
  <c r="L75" i="50"/>
  <c r="K75" i="50"/>
  <c r="J75" i="50"/>
  <c r="I75" i="50"/>
  <c r="H75" i="50"/>
  <c r="G75" i="50"/>
  <c r="F75" i="50"/>
  <c r="E75" i="50"/>
  <c r="D75" i="50"/>
  <c r="C75" i="50"/>
  <c r="B75" i="50"/>
  <c r="A75" i="50"/>
  <c r="AC74" i="50"/>
  <c r="AB74" i="50"/>
  <c r="AA74" i="50"/>
  <c r="Z74" i="50"/>
  <c r="Y74" i="50"/>
  <c r="X74" i="50"/>
  <c r="W74" i="50"/>
  <c r="V74" i="50"/>
  <c r="U74" i="50"/>
  <c r="T74" i="50"/>
  <c r="S74" i="50"/>
  <c r="R74" i="50"/>
  <c r="Q74" i="50"/>
  <c r="P74" i="50"/>
  <c r="O74" i="50"/>
  <c r="N74" i="50"/>
  <c r="M74" i="50"/>
  <c r="L74" i="50"/>
  <c r="K74" i="50"/>
  <c r="J74" i="50"/>
  <c r="I74" i="50"/>
  <c r="H74" i="50"/>
  <c r="G74" i="50"/>
  <c r="F74" i="50"/>
  <c r="E74" i="50"/>
  <c r="D74" i="50"/>
  <c r="C74" i="50"/>
  <c r="B74" i="50"/>
  <c r="A74" i="50"/>
  <c r="AC73" i="50"/>
  <c r="AB73" i="50"/>
  <c r="AA73" i="50"/>
  <c r="Z73" i="50"/>
  <c r="Y73" i="50"/>
  <c r="X73" i="50"/>
  <c r="W73" i="50"/>
  <c r="V73" i="50"/>
  <c r="U73" i="50"/>
  <c r="T73" i="50"/>
  <c r="S73" i="50"/>
  <c r="R73" i="50"/>
  <c r="Q73" i="50"/>
  <c r="P73" i="50"/>
  <c r="O73" i="50"/>
  <c r="N73" i="50"/>
  <c r="M73" i="50"/>
  <c r="L73" i="50"/>
  <c r="K73" i="50"/>
  <c r="J73" i="50"/>
  <c r="I73" i="50"/>
  <c r="H73" i="50"/>
  <c r="G73" i="50"/>
  <c r="F73" i="50"/>
  <c r="E73" i="50"/>
  <c r="D73" i="50"/>
  <c r="C73" i="50"/>
  <c r="B73" i="50"/>
  <c r="A73" i="50"/>
  <c r="AC72" i="50"/>
  <c r="AB72" i="50"/>
  <c r="AA72" i="50"/>
  <c r="Z72" i="50"/>
  <c r="Y72" i="50"/>
  <c r="X72" i="50"/>
  <c r="W72" i="50"/>
  <c r="V72" i="50"/>
  <c r="U72" i="50"/>
  <c r="T72" i="50"/>
  <c r="S72" i="50"/>
  <c r="R72" i="50"/>
  <c r="Q72" i="50"/>
  <c r="P72" i="50"/>
  <c r="O72" i="50"/>
  <c r="N72" i="50"/>
  <c r="M72" i="50"/>
  <c r="L72" i="50"/>
  <c r="K72" i="50"/>
  <c r="J72" i="50"/>
  <c r="I72" i="50"/>
  <c r="H72" i="50"/>
  <c r="G72" i="50"/>
  <c r="F72" i="50"/>
  <c r="E72" i="50"/>
  <c r="D72" i="50"/>
  <c r="C72" i="50"/>
  <c r="B72" i="50"/>
  <c r="A72" i="50"/>
  <c r="AC71" i="50"/>
  <c r="AB71" i="50"/>
  <c r="AA71" i="50"/>
  <c r="Z71" i="50"/>
  <c r="Y71" i="50"/>
  <c r="X71" i="50"/>
  <c r="W71" i="50"/>
  <c r="V71" i="50"/>
  <c r="U71" i="50"/>
  <c r="T71" i="50"/>
  <c r="S71" i="50"/>
  <c r="R71" i="50"/>
  <c r="Q71" i="50"/>
  <c r="P71" i="50"/>
  <c r="O71" i="50"/>
  <c r="N71" i="50"/>
  <c r="M71" i="50"/>
  <c r="L71" i="50"/>
  <c r="K71" i="50"/>
  <c r="J71" i="50"/>
  <c r="I71" i="50"/>
  <c r="H71" i="50"/>
  <c r="G71" i="50"/>
  <c r="F71" i="50"/>
  <c r="E71" i="50"/>
  <c r="D71" i="50"/>
  <c r="C71" i="50"/>
  <c r="B71" i="50"/>
  <c r="A71" i="50"/>
  <c r="AC70" i="50"/>
  <c r="AB70" i="50"/>
  <c r="AA70" i="50"/>
  <c r="Z70" i="50"/>
  <c r="Y70" i="50"/>
  <c r="X70" i="50"/>
  <c r="W70" i="50"/>
  <c r="V70" i="50"/>
  <c r="U70" i="50"/>
  <c r="T70" i="50"/>
  <c r="S70" i="50"/>
  <c r="R70" i="50"/>
  <c r="Q70" i="50"/>
  <c r="P70" i="50"/>
  <c r="O70" i="50"/>
  <c r="N70" i="50"/>
  <c r="M70" i="50"/>
  <c r="L70" i="50"/>
  <c r="K70" i="50"/>
  <c r="J70" i="50"/>
  <c r="I70" i="50"/>
  <c r="H70" i="50"/>
  <c r="G70" i="50"/>
  <c r="F70" i="50"/>
  <c r="E70" i="50"/>
  <c r="D70" i="50"/>
  <c r="C70" i="50"/>
  <c r="B70" i="50"/>
  <c r="A70" i="50"/>
  <c r="AC69" i="50"/>
  <c r="AB69" i="50"/>
  <c r="AA69" i="50"/>
  <c r="Z69" i="50"/>
  <c r="Y69" i="50"/>
  <c r="X69" i="50"/>
  <c r="W69" i="50"/>
  <c r="V69" i="50"/>
  <c r="U69" i="50"/>
  <c r="T69" i="50"/>
  <c r="S69" i="50"/>
  <c r="R69" i="50"/>
  <c r="Q69" i="50"/>
  <c r="P69" i="50"/>
  <c r="O69" i="50"/>
  <c r="N69" i="50"/>
  <c r="M69" i="50"/>
  <c r="L69" i="50"/>
  <c r="K69" i="50"/>
  <c r="J69" i="50"/>
  <c r="I69" i="50"/>
  <c r="H69" i="50"/>
  <c r="G69" i="50"/>
  <c r="F69" i="50"/>
  <c r="E69" i="50"/>
  <c r="D69" i="50"/>
  <c r="C69" i="50"/>
  <c r="B69" i="50"/>
  <c r="A69" i="50"/>
  <c r="AC68" i="50"/>
  <c r="AB68" i="50"/>
  <c r="AA68" i="50"/>
  <c r="Z68" i="50"/>
  <c r="Y68" i="50"/>
  <c r="X68" i="50"/>
  <c r="W68" i="50"/>
  <c r="V68" i="50"/>
  <c r="U68" i="50"/>
  <c r="T68" i="50"/>
  <c r="S68" i="50"/>
  <c r="R68" i="50"/>
  <c r="Q68" i="50"/>
  <c r="P68" i="50"/>
  <c r="O68" i="50"/>
  <c r="N68" i="50"/>
  <c r="M68" i="50"/>
  <c r="L68" i="50"/>
  <c r="K68" i="50"/>
  <c r="J68" i="50"/>
  <c r="I68" i="50"/>
  <c r="H68" i="50"/>
  <c r="G68" i="50"/>
  <c r="F68" i="50"/>
  <c r="E68" i="50"/>
  <c r="D68" i="50"/>
  <c r="C68" i="50"/>
  <c r="B68" i="50"/>
  <c r="A68" i="50"/>
  <c r="AC67" i="50"/>
  <c r="AB67" i="50"/>
  <c r="AA67" i="50"/>
  <c r="Z67" i="50"/>
  <c r="Y67" i="50"/>
  <c r="X67" i="50"/>
  <c r="W67" i="50"/>
  <c r="V67" i="50"/>
  <c r="U67" i="50"/>
  <c r="T67" i="50"/>
  <c r="S67" i="50"/>
  <c r="R67" i="50"/>
  <c r="Q67" i="50"/>
  <c r="P67" i="50"/>
  <c r="O67" i="50"/>
  <c r="N67" i="50"/>
  <c r="M67" i="50"/>
  <c r="L67" i="50"/>
  <c r="K67" i="50"/>
  <c r="J67" i="50"/>
  <c r="I67" i="50"/>
  <c r="H67" i="50"/>
  <c r="G67" i="50"/>
  <c r="F67" i="50"/>
  <c r="E67" i="50"/>
  <c r="D67" i="50"/>
  <c r="C67" i="50"/>
  <c r="B67" i="50"/>
  <c r="A67" i="50"/>
  <c r="AC66" i="50"/>
  <c r="AB66" i="50"/>
  <c r="AA66" i="50"/>
  <c r="Z66" i="50"/>
  <c r="Y66" i="50"/>
  <c r="X66" i="50"/>
  <c r="W66" i="50"/>
  <c r="V66" i="50"/>
  <c r="U66" i="50"/>
  <c r="T66" i="50"/>
  <c r="S66" i="50"/>
  <c r="R66" i="50"/>
  <c r="Q66" i="50"/>
  <c r="P66" i="50"/>
  <c r="O66" i="50"/>
  <c r="N66" i="50"/>
  <c r="M66" i="50"/>
  <c r="L66" i="50"/>
  <c r="K66" i="50"/>
  <c r="J66" i="50"/>
  <c r="I66" i="50"/>
  <c r="H66" i="50"/>
  <c r="G66" i="50"/>
  <c r="F66" i="50"/>
  <c r="E66" i="50"/>
  <c r="D66" i="50"/>
  <c r="C66" i="50"/>
  <c r="B66" i="50"/>
  <c r="A66" i="50"/>
  <c r="AC65" i="50"/>
  <c r="AB65" i="50"/>
  <c r="AA65" i="50"/>
  <c r="Z65" i="50"/>
  <c r="Y65" i="50"/>
  <c r="X65" i="50"/>
  <c r="W65" i="50"/>
  <c r="V65" i="50"/>
  <c r="U65" i="50"/>
  <c r="T65" i="50"/>
  <c r="S65" i="50"/>
  <c r="R65" i="50"/>
  <c r="Q65" i="50"/>
  <c r="P65" i="50"/>
  <c r="O65" i="50"/>
  <c r="N65" i="50"/>
  <c r="M65" i="50"/>
  <c r="L65" i="50"/>
  <c r="K65" i="50"/>
  <c r="J65" i="50"/>
  <c r="I65" i="50"/>
  <c r="H65" i="50"/>
  <c r="G65" i="50"/>
  <c r="F65" i="50"/>
  <c r="E65" i="50"/>
  <c r="D65" i="50"/>
  <c r="C65" i="50"/>
  <c r="B65" i="50"/>
  <c r="A65" i="50"/>
  <c r="AC64" i="50"/>
  <c r="AB64" i="50"/>
  <c r="AA64" i="50"/>
  <c r="Z64" i="50"/>
  <c r="Y64" i="50"/>
  <c r="X64" i="50"/>
  <c r="W64" i="50"/>
  <c r="V64" i="50"/>
  <c r="U64" i="50"/>
  <c r="T64" i="50"/>
  <c r="S64" i="50"/>
  <c r="R64" i="50"/>
  <c r="Q64" i="50"/>
  <c r="P64" i="50"/>
  <c r="O64" i="50"/>
  <c r="N64" i="50"/>
  <c r="M64" i="50"/>
  <c r="L64" i="50"/>
  <c r="K64" i="50"/>
  <c r="J64" i="50"/>
  <c r="I64" i="50"/>
  <c r="H64" i="50"/>
  <c r="G64" i="50"/>
  <c r="F64" i="50"/>
  <c r="E64" i="50"/>
  <c r="D64" i="50"/>
  <c r="C64" i="50"/>
  <c r="B64" i="50"/>
  <c r="A64" i="50"/>
  <c r="AC63" i="50"/>
  <c r="AB63" i="50"/>
  <c r="AA63" i="50"/>
  <c r="Z63" i="50"/>
  <c r="Y63" i="50"/>
  <c r="X63" i="50"/>
  <c r="W63" i="50"/>
  <c r="V63" i="50"/>
  <c r="U63" i="50"/>
  <c r="T63" i="50"/>
  <c r="S63" i="50"/>
  <c r="R63" i="50"/>
  <c r="Q63" i="50"/>
  <c r="P63" i="50"/>
  <c r="O63" i="50"/>
  <c r="N63" i="50"/>
  <c r="M63" i="50"/>
  <c r="L63" i="50"/>
  <c r="K63" i="50"/>
  <c r="J63" i="50"/>
  <c r="I63" i="50"/>
  <c r="H63" i="50"/>
  <c r="G63" i="50"/>
  <c r="F63" i="50"/>
  <c r="E63" i="50"/>
  <c r="D63" i="50"/>
  <c r="C63" i="50"/>
  <c r="B63" i="50"/>
  <c r="A63" i="50"/>
  <c r="AC62" i="50"/>
  <c r="AB62" i="50"/>
  <c r="AA62" i="50"/>
  <c r="Z62" i="50"/>
  <c r="Y62" i="50"/>
  <c r="X62" i="50"/>
  <c r="W62" i="50"/>
  <c r="V62" i="50"/>
  <c r="U62" i="50"/>
  <c r="T62" i="50"/>
  <c r="S62" i="50"/>
  <c r="R62" i="50"/>
  <c r="Q62" i="50"/>
  <c r="P62" i="50"/>
  <c r="O62" i="50"/>
  <c r="N62" i="50"/>
  <c r="M62" i="50"/>
  <c r="L62" i="50"/>
  <c r="K62" i="50"/>
  <c r="J62" i="50"/>
  <c r="I62" i="50"/>
  <c r="H62" i="50"/>
  <c r="G62" i="50"/>
  <c r="F62" i="50"/>
  <c r="E62" i="50"/>
  <c r="D62" i="50"/>
  <c r="C62" i="50"/>
  <c r="B62" i="50"/>
  <c r="A62" i="50"/>
  <c r="AC61" i="50"/>
  <c r="AB61" i="50"/>
  <c r="AA61" i="50"/>
  <c r="Z61" i="50"/>
  <c r="Y61" i="50"/>
  <c r="X61" i="50"/>
  <c r="W61" i="50"/>
  <c r="V61" i="50"/>
  <c r="U61" i="50"/>
  <c r="T61" i="50"/>
  <c r="S61" i="50"/>
  <c r="R61" i="50"/>
  <c r="Q61" i="50"/>
  <c r="P61" i="50"/>
  <c r="O61" i="50"/>
  <c r="N61" i="50"/>
  <c r="M61" i="50"/>
  <c r="L61" i="50"/>
  <c r="K61" i="50"/>
  <c r="J61" i="50"/>
  <c r="I61" i="50"/>
  <c r="H61" i="50"/>
  <c r="G61" i="50"/>
  <c r="F61" i="50"/>
  <c r="E61" i="50"/>
  <c r="D61" i="50"/>
  <c r="C61" i="50"/>
  <c r="B61" i="50"/>
  <c r="A61" i="50"/>
  <c r="AC56" i="50"/>
  <c r="AB56" i="50"/>
  <c r="AA56" i="50"/>
  <c r="Z56" i="50"/>
  <c r="Y56" i="50"/>
  <c r="X56" i="50"/>
  <c r="W56" i="50"/>
  <c r="V56" i="50"/>
  <c r="U56" i="50"/>
  <c r="T56" i="50"/>
  <c r="S56" i="50"/>
  <c r="R56" i="50"/>
  <c r="Q56" i="50"/>
  <c r="P56" i="50"/>
  <c r="O56" i="50"/>
  <c r="N56" i="50"/>
  <c r="M56" i="50"/>
  <c r="L56" i="50"/>
  <c r="K56" i="50"/>
  <c r="J56" i="50"/>
  <c r="I56" i="50"/>
  <c r="H56" i="50"/>
  <c r="G56" i="50"/>
  <c r="F56" i="50"/>
  <c r="E56" i="50"/>
  <c r="D56" i="50"/>
  <c r="C56" i="50"/>
  <c r="B56" i="50"/>
  <c r="AC54" i="50"/>
  <c r="AB54" i="50"/>
  <c r="AA54" i="50"/>
  <c r="Z54" i="50"/>
  <c r="Y54" i="50"/>
  <c r="X54" i="50"/>
  <c r="W54" i="50"/>
  <c r="V54" i="50"/>
  <c r="U54" i="50"/>
  <c r="T54" i="50"/>
  <c r="S54" i="50"/>
  <c r="R54" i="50"/>
  <c r="Q54" i="50"/>
  <c r="P54" i="50"/>
  <c r="O54" i="50"/>
  <c r="N54" i="50"/>
  <c r="M54" i="50"/>
  <c r="L54" i="50"/>
  <c r="K54" i="50"/>
  <c r="J54" i="50"/>
  <c r="I54" i="50"/>
  <c r="H54" i="50"/>
  <c r="G54" i="50"/>
  <c r="F54" i="50"/>
  <c r="E54" i="50"/>
  <c r="D54" i="50"/>
  <c r="C54" i="50"/>
  <c r="B54" i="50"/>
  <c r="AB52" i="50"/>
  <c r="AA52" i="50"/>
  <c r="Z52" i="50"/>
  <c r="Y52" i="50"/>
  <c r="X52" i="50"/>
  <c r="W52" i="50"/>
  <c r="V52" i="50"/>
  <c r="U52" i="50"/>
  <c r="T52" i="50"/>
  <c r="S52" i="50"/>
  <c r="R52" i="50"/>
  <c r="R53" i="50" s="1"/>
  <c r="Q52" i="50"/>
  <c r="P52" i="50"/>
  <c r="O52" i="50"/>
  <c r="N52" i="50"/>
  <c r="M52" i="50"/>
  <c r="L52" i="50"/>
  <c r="K52" i="50"/>
  <c r="J52" i="50"/>
  <c r="I52" i="50"/>
  <c r="H52" i="50"/>
  <c r="AC50" i="50"/>
  <c r="AB50" i="50"/>
  <c r="AA50" i="50"/>
  <c r="Z50" i="50"/>
  <c r="Y50" i="50"/>
  <c r="X50" i="50"/>
  <c r="W50" i="50"/>
  <c r="V50" i="50"/>
  <c r="U50" i="50"/>
  <c r="T50" i="50"/>
  <c r="S50" i="50"/>
  <c r="R50" i="50"/>
  <c r="Q50" i="50"/>
  <c r="P50" i="50"/>
  <c r="O50" i="50"/>
  <c r="N50" i="50"/>
  <c r="M50" i="50"/>
  <c r="L50" i="50"/>
  <c r="K50" i="50"/>
  <c r="J50" i="50"/>
  <c r="I50" i="50"/>
  <c r="H50" i="50"/>
  <c r="G50" i="50"/>
  <c r="F50" i="50"/>
  <c r="E50" i="50"/>
  <c r="D50" i="50"/>
  <c r="C50" i="50"/>
  <c r="B50" i="50"/>
  <c r="AC35" i="50"/>
  <c r="AB35" i="50"/>
  <c r="AA35" i="50"/>
  <c r="Z35" i="50"/>
  <c r="Y35" i="50"/>
  <c r="X35" i="50"/>
  <c r="W35" i="50"/>
  <c r="V35" i="50"/>
  <c r="U35" i="50"/>
  <c r="T35" i="50"/>
  <c r="S35" i="50"/>
  <c r="R35" i="50"/>
  <c r="Q35" i="50"/>
  <c r="P35" i="50"/>
  <c r="O35" i="50"/>
  <c r="N35" i="50"/>
  <c r="M35" i="50"/>
  <c r="L35" i="50"/>
  <c r="K35" i="50"/>
  <c r="J35" i="50"/>
  <c r="I35" i="50"/>
  <c r="H35" i="50"/>
  <c r="G35" i="50"/>
  <c r="F35" i="50"/>
  <c r="E35" i="50"/>
  <c r="D35" i="50"/>
  <c r="C35" i="50"/>
  <c r="B35" i="50"/>
  <c r="AC33" i="50"/>
  <c r="AB33" i="50"/>
  <c r="AA33" i="50"/>
  <c r="Z33" i="50"/>
  <c r="Y33" i="50"/>
  <c r="X33" i="50"/>
  <c r="W33" i="50"/>
  <c r="V33" i="50"/>
  <c r="V36" i="50" s="1"/>
  <c r="U33" i="50"/>
  <c r="U59" i="50" s="1"/>
  <c r="T33" i="50"/>
  <c r="S33" i="50"/>
  <c r="S59" i="50" s="1"/>
  <c r="R33" i="50"/>
  <c r="R59" i="50" s="1"/>
  <c r="Q33" i="50"/>
  <c r="Q59" i="50" s="1"/>
  <c r="P33" i="50"/>
  <c r="O33" i="50"/>
  <c r="N33" i="50"/>
  <c r="M33" i="50"/>
  <c r="M59" i="50" s="1"/>
  <c r="L33" i="50"/>
  <c r="K33" i="50"/>
  <c r="J33" i="50"/>
  <c r="I33" i="50"/>
  <c r="H33" i="50"/>
  <c r="G33" i="50"/>
  <c r="F33" i="50"/>
  <c r="E33" i="50"/>
  <c r="E59" i="50" s="1"/>
  <c r="D33" i="50"/>
  <c r="D53" i="50" s="1"/>
  <c r="C33" i="50"/>
  <c r="C59" i="50" s="1"/>
  <c r="B33" i="50"/>
  <c r="B59" i="50" s="1"/>
  <c r="AC30" i="50"/>
  <c r="W30" i="50"/>
  <c r="V30" i="50"/>
  <c r="U30" i="50"/>
  <c r="T30" i="50"/>
  <c r="S30" i="50"/>
  <c r="R30" i="50"/>
  <c r="P30" i="50"/>
  <c r="M30" i="50"/>
  <c r="L30" i="50"/>
  <c r="K30" i="50"/>
  <c r="J30" i="50"/>
  <c r="AC26" i="50"/>
  <c r="W26" i="50"/>
  <c r="V26" i="50"/>
  <c r="U26" i="50"/>
  <c r="T26" i="50"/>
  <c r="S26" i="50"/>
  <c r="R26" i="50"/>
  <c r="P26" i="50"/>
  <c r="M26" i="50"/>
  <c r="L26" i="50"/>
  <c r="K26" i="50"/>
  <c r="J26" i="50"/>
  <c r="AC24" i="50"/>
  <c r="AB24" i="50"/>
  <c r="AA24" i="50"/>
  <c r="Z24" i="50"/>
  <c r="Y24" i="50"/>
  <c r="X24" i="50"/>
  <c r="Q24" i="50"/>
  <c r="O24" i="50"/>
  <c r="N24" i="50"/>
  <c r="I24" i="50"/>
  <c r="H24" i="50"/>
  <c r="G24" i="50"/>
  <c r="F24" i="50"/>
  <c r="E24" i="50"/>
  <c r="D24" i="50"/>
  <c r="C24" i="50"/>
  <c r="B24" i="50"/>
  <c r="AB18" i="50"/>
  <c r="AA18" i="50"/>
  <c r="Z18" i="50"/>
  <c r="Y18" i="50"/>
  <c r="X18" i="50"/>
  <c r="W18" i="50"/>
  <c r="V18" i="50"/>
  <c r="U18" i="50"/>
  <c r="T18" i="50"/>
  <c r="S18" i="50"/>
  <c r="R18" i="50"/>
  <c r="Q18" i="50"/>
  <c r="P18" i="50"/>
  <c r="O18" i="50"/>
  <c r="N18" i="50"/>
  <c r="B11" i="50"/>
  <c r="B30" i="50" s="1"/>
  <c r="B10" i="50"/>
  <c r="L24" i="50" s="1"/>
  <c r="B9" i="50"/>
  <c r="Z23" i="50" s="1"/>
  <c r="B7" i="50"/>
  <c r="B8" i="50" s="1"/>
  <c r="B3" i="50"/>
  <c r="C61" i="35"/>
  <c r="D61" i="35"/>
  <c r="E61" i="35"/>
  <c r="C62" i="35"/>
  <c r="D62" i="35"/>
  <c r="E62" i="35"/>
  <c r="C63" i="35"/>
  <c r="D63" i="35"/>
  <c r="E63" i="35"/>
  <c r="C64" i="35"/>
  <c r="D64" i="35"/>
  <c r="E64" i="35"/>
  <c r="C65" i="35"/>
  <c r="D65" i="35"/>
  <c r="E65" i="35"/>
  <c r="C66" i="35"/>
  <c r="D66" i="35"/>
  <c r="E66" i="35"/>
  <c r="C67" i="35"/>
  <c r="D67" i="35"/>
  <c r="E67" i="35"/>
  <c r="C68" i="35"/>
  <c r="D68" i="35"/>
  <c r="E68" i="35"/>
  <c r="C69" i="35"/>
  <c r="D69" i="35"/>
  <c r="E69" i="35"/>
  <c r="C70" i="35"/>
  <c r="D70" i="35"/>
  <c r="E70" i="35"/>
  <c r="C71" i="35"/>
  <c r="D71" i="35"/>
  <c r="E71" i="35"/>
  <c r="C72" i="35"/>
  <c r="D72" i="35"/>
  <c r="E72" i="35"/>
  <c r="C73" i="35"/>
  <c r="D73" i="35"/>
  <c r="E73" i="35"/>
  <c r="C74" i="35"/>
  <c r="D74" i="35"/>
  <c r="E74" i="35"/>
  <c r="C75" i="35"/>
  <c r="D75" i="35"/>
  <c r="E75" i="35"/>
  <c r="C76" i="35"/>
  <c r="D76" i="35"/>
  <c r="E76" i="35"/>
  <c r="C77" i="35"/>
  <c r="D77" i="35"/>
  <c r="E77" i="35"/>
  <c r="C78" i="35"/>
  <c r="D78" i="35"/>
  <c r="E78" i="35"/>
  <c r="C79" i="35"/>
  <c r="D79" i="35"/>
  <c r="E79" i="35"/>
  <c r="C80" i="35"/>
  <c r="D80" i="35"/>
  <c r="E80" i="35"/>
  <c r="C81" i="35"/>
  <c r="D81" i="35"/>
  <c r="E81" i="35"/>
  <c r="C82" i="35"/>
  <c r="D82" i="35"/>
  <c r="E82" i="35"/>
  <c r="C83" i="35"/>
  <c r="D83" i="35"/>
  <c r="E83" i="35"/>
  <c r="C84" i="35"/>
  <c r="D84" i="35"/>
  <c r="E84" i="35"/>
  <c r="C85" i="35"/>
  <c r="D85" i="35"/>
  <c r="E85" i="35"/>
  <c r="C86" i="35"/>
  <c r="D86" i="35"/>
  <c r="E86" i="35"/>
  <c r="C87" i="35"/>
  <c r="D87" i="35"/>
  <c r="E87" i="35"/>
  <c r="C88" i="35"/>
  <c r="D88" i="35"/>
  <c r="E88" i="35"/>
  <c r="C89" i="35"/>
  <c r="D89" i="35"/>
  <c r="E89" i="35"/>
  <c r="C90" i="35"/>
  <c r="D90" i="35"/>
  <c r="E90" i="35"/>
  <c r="C91" i="35"/>
  <c r="D91" i="35"/>
  <c r="E91" i="35"/>
  <c r="C92" i="35"/>
  <c r="D92" i="35"/>
  <c r="E92" i="35"/>
  <c r="B92" i="35"/>
  <c r="B91" i="35"/>
  <c r="B90" i="35"/>
  <c r="B89" i="35"/>
  <c r="B88" i="35"/>
  <c r="B87" i="35"/>
  <c r="B86" i="35"/>
  <c r="B85" i="35"/>
  <c r="B84" i="35"/>
  <c r="B83" i="35"/>
  <c r="B82" i="35"/>
  <c r="B81" i="35"/>
  <c r="B80" i="35"/>
  <c r="B79" i="35"/>
  <c r="B78" i="35"/>
  <c r="B77" i="35"/>
  <c r="B76" i="35"/>
  <c r="B75" i="35"/>
  <c r="B74" i="35"/>
  <c r="B73" i="35"/>
  <c r="B72" i="35"/>
  <c r="B71" i="35"/>
  <c r="B70" i="35"/>
  <c r="B69" i="35"/>
  <c r="B68" i="35"/>
  <c r="B67" i="35"/>
  <c r="B66" i="35"/>
  <c r="B65" i="35"/>
  <c r="B64" i="35"/>
  <c r="B63" i="35"/>
  <c r="B62" i="35"/>
  <c r="B61" i="35"/>
  <c r="A62" i="35"/>
  <c r="A63" i="35"/>
  <c r="A64" i="35"/>
  <c r="A65" i="35"/>
  <c r="A66" i="35"/>
  <c r="A67" i="35"/>
  <c r="A68" i="35"/>
  <c r="A69" i="35"/>
  <c r="A70" i="35"/>
  <c r="A71" i="35"/>
  <c r="A72" i="35"/>
  <c r="A73" i="35"/>
  <c r="A74" i="35"/>
  <c r="A75" i="35"/>
  <c r="A76" i="35"/>
  <c r="A77" i="35"/>
  <c r="A78" i="35"/>
  <c r="A79" i="35"/>
  <c r="A80" i="35"/>
  <c r="A81" i="35"/>
  <c r="A82" i="35"/>
  <c r="A83" i="35"/>
  <c r="A84" i="35"/>
  <c r="A85" i="35"/>
  <c r="A86" i="35"/>
  <c r="A87" i="35"/>
  <c r="A88" i="35"/>
  <c r="A89" i="35"/>
  <c r="A90" i="35"/>
  <c r="A91" i="35"/>
  <c r="A92" i="35"/>
  <c r="A61" i="35"/>
  <c r="C61" i="30"/>
  <c r="D61" i="30"/>
  <c r="E61" i="30"/>
  <c r="F61" i="30"/>
  <c r="G61" i="30"/>
  <c r="H61" i="30"/>
  <c r="I61" i="30"/>
  <c r="J61" i="30"/>
  <c r="K61" i="30"/>
  <c r="L61" i="30"/>
  <c r="M61" i="30"/>
  <c r="N61" i="30"/>
  <c r="O61" i="30"/>
  <c r="P61" i="30"/>
  <c r="Q61" i="30"/>
  <c r="R61" i="30"/>
  <c r="S61" i="30"/>
  <c r="T61" i="30"/>
  <c r="U61" i="30"/>
  <c r="V61" i="30"/>
  <c r="W61" i="30"/>
  <c r="X61" i="30"/>
  <c r="Y61" i="30"/>
  <c r="Z61" i="30"/>
  <c r="AA61" i="30"/>
  <c r="AB61" i="30"/>
  <c r="AC61" i="30"/>
  <c r="C62" i="30"/>
  <c r="D62" i="30"/>
  <c r="E62" i="30"/>
  <c r="F62" i="30"/>
  <c r="G62" i="30"/>
  <c r="H62" i="30"/>
  <c r="I62" i="30"/>
  <c r="J62" i="30"/>
  <c r="K62" i="30"/>
  <c r="L62" i="30"/>
  <c r="M62" i="30"/>
  <c r="N62" i="30"/>
  <c r="O62" i="30"/>
  <c r="P62" i="30"/>
  <c r="Q62" i="30"/>
  <c r="R62" i="30"/>
  <c r="S62" i="30"/>
  <c r="T62" i="30"/>
  <c r="U62" i="30"/>
  <c r="V62" i="30"/>
  <c r="W62" i="30"/>
  <c r="X62" i="30"/>
  <c r="Y62" i="30"/>
  <c r="Z62" i="30"/>
  <c r="AA62" i="30"/>
  <c r="AB62" i="30"/>
  <c r="AC62" i="30"/>
  <c r="C63" i="30"/>
  <c r="D63" i="30"/>
  <c r="E63" i="30"/>
  <c r="F63" i="30"/>
  <c r="G63" i="30"/>
  <c r="H63" i="30"/>
  <c r="I63" i="30"/>
  <c r="J63" i="30"/>
  <c r="K63" i="30"/>
  <c r="L63" i="30"/>
  <c r="M63" i="30"/>
  <c r="N63" i="30"/>
  <c r="O63" i="30"/>
  <c r="P63" i="30"/>
  <c r="Q63" i="30"/>
  <c r="R63" i="30"/>
  <c r="S63" i="30"/>
  <c r="T63" i="30"/>
  <c r="U63" i="30"/>
  <c r="V63" i="30"/>
  <c r="W63" i="30"/>
  <c r="X63" i="30"/>
  <c r="Y63" i="30"/>
  <c r="Z63" i="30"/>
  <c r="AA63" i="30"/>
  <c r="AB63" i="30"/>
  <c r="AC63" i="30"/>
  <c r="C64" i="30"/>
  <c r="D64" i="30"/>
  <c r="E64" i="30"/>
  <c r="F64" i="30"/>
  <c r="G64" i="30"/>
  <c r="H64" i="30"/>
  <c r="I64" i="30"/>
  <c r="J64" i="30"/>
  <c r="K64" i="30"/>
  <c r="L64" i="30"/>
  <c r="M64" i="30"/>
  <c r="N64" i="30"/>
  <c r="O64" i="30"/>
  <c r="P64" i="30"/>
  <c r="Q64" i="30"/>
  <c r="R64" i="30"/>
  <c r="S64" i="30"/>
  <c r="T64" i="30"/>
  <c r="U64" i="30"/>
  <c r="V64" i="30"/>
  <c r="W64" i="30"/>
  <c r="X64" i="30"/>
  <c r="Y64" i="30"/>
  <c r="Z64" i="30"/>
  <c r="AA64" i="30"/>
  <c r="AB64" i="30"/>
  <c r="AC64" i="30"/>
  <c r="C65" i="30"/>
  <c r="D65" i="30"/>
  <c r="E65" i="30"/>
  <c r="F65" i="30"/>
  <c r="G65" i="30"/>
  <c r="H65" i="30"/>
  <c r="I65" i="30"/>
  <c r="J65" i="30"/>
  <c r="K65" i="30"/>
  <c r="L65" i="30"/>
  <c r="M65" i="30"/>
  <c r="N65" i="30"/>
  <c r="O65" i="30"/>
  <c r="P65" i="30"/>
  <c r="Q65" i="30"/>
  <c r="R65" i="30"/>
  <c r="S65" i="30"/>
  <c r="T65" i="30"/>
  <c r="U65" i="30"/>
  <c r="V65" i="30"/>
  <c r="W65" i="30"/>
  <c r="X65" i="30"/>
  <c r="Y65" i="30"/>
  <c r="Z65" i="30"/>
  <c r="AA65" i="30"/>
  <c r="AB65" i="30"/>
  <c r="AC65" i="30"/>
  <c r="C66" i="30"/>
  <c r="D66" i="30"/>
  <c r="E66" i="30"/>
  <c r="F66" i="30"/>
  <c r="G66" i="30"/>
  <c r="H66" i="30"/>
  <c r="I66" i="30"/>
  <c r="J66" i="30"/>
  <c r="K66" i="30"/>
  <c r="L66" i="30"/>
  <c r="M66" i="30"/>
  <c r="N66" i="30"/>
  <c r="O66" i="30"/>
  <c r="P66" i="30"/>
  <c r="Q66" i="30"/>
  <c r="R66" i="30"/>
  <c r="S66" i="30"/>
  <c r="T66" i="30"/>
  <c r="U66" i="30"/>
  <c r="V66" i="30"/>
  <c r="W66" i="30"/>
  <c r="X66" i="30"/>
  <c r="Y66" i="30"/>
  <c r="Z66" i="30"/>
  <c r="AA66" i="30"/>
  <c r="AB66" i="30"/>
  <c r="AC66" i="30"/>
  <c r="C67" i="30"/>
  <c r="D67" i="30"/>
  <c r="E67" i="30"/>
  <c r="F67" i="30"/>
  <c r="G67" i="30"/>
  <c r="H67" i="30"/>
  <c r="I67" i="30"/>
  <c r="J67" i="30"/>
  <c r="K67" i="30"/>
  <c r="L67" i="30"/>
  <c r="M67" i="30"/>
  <c r="N67" i="30"/>
  <c r="O67" i="30"/>
  <c r="P67" i="30"/>
  <c r="Q67" i="30"/>
  <c r="R67" i="30"/>
  <c r="S67" i="30"/>
  <c r="T67" i="30"/>
  <c r="U67" i="30"/>
  <c r="V67" i="30"/>
  <c r="W67" i="30"/>
  <c r="X67" i="30"/>
  <c r="Y67" i="30"/>
  <c r="Z67" i="30"/>
  <c r="AA67" i="30"/>
  <c r="AB67" i="30"/>
  <c r="AC67" i="30"/>
  <c r="C68" i="30"/>
  <c r="D68" i="30"/>
  <c r="E68" i="30"/>
  <c r="F68" i="30"/>
  <c r="G68" i="30"/>
  <c r="H68" i="30"/>
  <c r="I68" i="30"/>
  <c r="J68" i="30"/>
  <c r="K68" i="30"/>
  <c r="L68" i="30"/>
  <c r="M68" i="30"/>
  <c r="N68" i="30"/>
  <c r="O68" i="30"/>
  <c r="P68" i="30"/>
  <c r="Q68" i="30"/>
  <c r="R68" i="30"/>
  <c r="S68" i="30"/>
  <c r="T68" i="30"/>
  <c r="U68" i="30"/>
  <c r="V68" i="30"/>
  <c r="W68" i="30"/>
  <c r="X68" i="30"/>
  <c r="Y68" i="30"/>
  <c r="Z68" i="30"/>
  <c r="AA68" i="30"/>
  <c r="AB68" i="30"/>
  <c r="AC68" i="30"/>
  <c r="C69" i="30"/>
  <c r="D69" i="30"/>
  <c r="E69" i="30"/>
  <c r="F69" i="30"/>
  <c r="G69" i="30"/>
  <c r="H69" i="30"/>
  <c r="I69" i="30"/>
  <c r="J69" i="30"/>
  <c r="K69" i="30"/>
  <c r="L69" i="30"/>
  <c r="M69" i="30"/>
  <c r="N69" i="30"/>
  <c r="O69" i="30"/>
  <c r="P69" i="30"/>
  <c r="Q69" i="30"/>
  <c r="R69" i="30"/>
  <c r="S69" i="30"/>
  <c r="T69" i="30"/>
  <c r="U69" i="30"/>
  <c r="V69" i="30"/>
  <c r="W69" i="30"/>
  <c r="X69" i="30"/>
  <c r="Y69" i="30"/>
  <c r="Z69" i="30"/>
  <c r="AA69" i="30"/>
  <c r="AB69" i="30"/>
  <c r="AC69" i="30"/>
  <c r="C70" i="30"/>
  <c r="D70" i="30"/>
  <c r="E70" i="30"/>
  <c r="F70" i="30"/>
  <c r="G70" i="30"/>
  <c r="H70" i="30"/>
  <c r="I70" i="30"/>
  <c r="J70" i="30"/>
  <c r="K70" i="30"/>
  <c r="L70" i="30"/>
  <c r="M70" i="30"/>
  <c r="N70" i="30"/>
  <c r="O70" i="30"/>
  <c r="P70" i="30"/>
  <c r="Q70" i="30"/>
  <c r="R70" i="30"/>
  <c r="S70" i="30"/>
  <c r="T70" i="30"/>
  <c r="U70" i="30"/>
  <c r="V70" i="30"/>
  <c r="W70" i="30"/>
  <c r="X70" i="30"/>
  <c r="Y70" i="30"/>
  <c r="Z70" i="30"/>
  <c r="AA70" i="30"/>
  <c r="AB70" i="30"/>
  <c r="AC70" i="30"/>
  <c r="C71" i="30"/>
  <c r="D71" i="30"/>
  <c r="E71" i="30"/>
  <c r="F71" i="30"/>
  <c r="G71" i="30"/>
  <c r="H71" i="30"/>
  <c r="I71" i="30"/>
  <c r="J71" i="30"/>
  <c r="K71" i="30"/>
  <c r="L71" i="30"/>
  <c r="M71" i="30"/>
  <c r="N71" i="30"/>
  <c r="O71" i="30"/>
  <c r="P71" i="30"/>
  <c r="Q71" i="30"/>
  <c r="R71" i="30"/>
  <c r="S71" i="30"/>
  <c r="T71" i="30"/>
  <c r="U71" i="30"/>
  <c r="V71" i="30"/>
  <c r="W71" i="30"/>
  <c r="X71" i="30"/>
  <c r="Y71" i="30"/>
  <c r="Z71" i="30"/>
  <c r="AA71" i="30"/>
  <c r="AB71" i="30"/>
  <c r="AC71" i="30"/>
  <c r="C72" i="30"/>
  <c r="D72" i="30"/>
  <c r="E72" i="30"/>
  <c r="F72" i="30"/>
  <c r="G72" i="30"/>
  <c r="H72" i="30"/>
  <c r="I72" i="30"/>
  <c r="J72" i="30"/>
  <c r="K72" i="30"/>
  <c r="L72" i="30"/>
  <c r="M72" i="30"/>
  <c r="N72" i="30"/>
  <c r="O72" i="30"/>
  <c r="P72" i="30"/>
  <c r="Q72" i="30"/>
  <c r="R72" i="30"/>
  <c r="S72" i="30"/>
  <c r="T72" i="30"/>
  <c r="U72" i="30"/>
  <c r="V72" i="30"/>
  <c r="W72" i="30"/>
  <c r="X72" i="30"/>
  <c r="Y72" i="30"/>
  <c r="Z72" i="30"/>
  <c r="AA72" i="30"/>
  <c r="AB72" i="30"/>
  <c r="AC72" i="30"/>
  <c r="C73" i="30"/>
  <c r="D73" i="30"/>
  <c r="E73" i="30"/>
  <c r="F73" i="30"/>
  <c r="G73" i="30"/>
  <c r="H73" i="30"/>
  <c r="I73" i="30"/>
  <c r="J73" i="30"/>
  <c r="K73" i="30"/>
  <c r="L73" i="30"/>
  <c r="M73" i="30"/>
  <c r="N73" i="30"/>
  <c r="O73" i="30"/>
  <c r="P73" i="30"/>
  <c r="Q73" i="30"/>
  <c r="R73" i="30"/>
  <c r="S73" i="30"/>
  <c r="T73" i="30"/>
  <c r="U73" i="30"/>
  <c r="V73" i="30"/>
  <c r="W73" i="30"/>
  <c r="X73" i="30"/>
  <c r="Y73" i="30"/>
  <c r="Z73" i="30"/>
  <c r="AA73" i="30"/>
  <c r="AB73" i="30"/>
  <c r="AC73" i="30"/>
  <c r="C74" i="30"/>
  <c r="D74" i="30"/>
  <c r="E74" i="30"/>
  <c r="F74" i="30"/>
  <c r="G74" i="30"/>
  <c r="H74" i="30"/>
  <c r="I74" i="30"/>
  <c r="J74" i="30"/>
  <c r="K74" i="30"/>
  <c r="L74" i="30"/>
  <c r="M74" i="30"/>
  <c r="N74" i="30"/>
  <c r="O74" i="30"/>
  <c r="P74" i="30"/>
  <c r="Q74" i="30"/>
  <c r="R74" i="30"/>
  <c r="S74" i="30"/>
  <c r="T74" i="30"/>
  <c r="U74" i="30"/>
  <c r="V74" i="30"/>
  <c r="W74" i="30"/>
  <c r="X74" i="30"/>
  <c r="Y74" i="30"/>
  <c r="Z74" i="30"/>
  <c r="AA74" i="30"/>
  <c r="AB74" i="30"/>
  <c r="AC74" i="30"/>
  <c r="C75" i="30"/>
  <c r="D75" i="30"/>
  <c r="E75" i="30"/>
  <c r="F75" i="30"/>
  <c r="G75" i="30"/>
  <c r="H75" i="30"/>
  <c r="I75" i="30"/>
  <c r="J75" i="30"/>
  <c r="K75" i="30"/>
  <c r="L75" i="30"/>
  <c r="M75" i="30"/>
  <c r="N75" i="30"/>
  <c r="O75" i="30"/>
  <c r="P75" i="30"/>
  <c r="Q75" i="30"/>
  <c r="R75" i="30"/>
  <c r="S75" i="30"/>
  <c r="T75" i="30"/>
  <c r="U75" i="30"/>
  <c r="V75" i="30"/>
  <c r="W75" i="30"/>
  <c r="X75" i="30"/>
  <c r="Y75" i="30"/>
  <c r="Z75" i="30"/>
  <c r="AA75" i="30"/>
  <c r="AB75" i="30"/>
  <c r="AC75" i="30"/>
  <c r="C76" i="30"/>
  <c r="D76" i="30"/>
  <c r="E76" i="30"/>
  <c r="F76" i="30"/>
  <c r="G76" i="30"/>
  <c r="H76" i="30"/>
  <c r="I76" i="30"/>
  <c r="J76" i="30"/>
  <c r="K76" i="30"/>
  <c r="L76" i="30"/>
  <c r="M76" i="30"/>
  <c r="N76" i="30"/>
  <c r="O76" i="30"/>
  <c r="P76" i="30"/>
  <c r="Q76" i="30"/>
  <c r="R76" i="30"/>
  <c r="S76" i="30"/>
  <c r="T76" i="30"/>
  <c r="U76" i="30"/>
  <c r="V76" i="30"/>
  <c r="W76" i="30"/>
  <c r="X76" i="30"/>
  <c r="Y76" i="30"/>
  <c r="Z76" i="30"/>
  <c r="AA76" i="30"/>
  <c r="AB76" i="30"/>
  <c r="AC76" i="30"/>
  <c r="C77" i="30"/>
  <c r="D77" i="30"/>
  <c r="E77" i="30"/>
  <c r="F77" i="30"/>
  <c r="G77" i="30"/>
  <c r="H77" i="30"/>
  <c r="I77" i="30"/>
  <c r="J77" i="30"/>
  <c r="K77" i="30"/>
  <c r="L77" i="30"/>
  <c r="M77" i="30"/>
  <c r="N77" i="30"/>
  <c r="O77" i="30"/>
  <c r="P77" i="30"/>
  <c r="Q77" i="30"/>
  <c r="R77" i="30"/>
  <c r="S77" i="30"/>
  <c r="T77" i="30"/>
  <c r="U77" i="30"/>
  <c r="V77" i="30"/>
  <c r="W77" i="30"/>
  <c r="X77" i="30"/>
  <c r="Y77" i="30"/>
  <c r="Z77" i="30"/>
  <c r="AA77" i="30"/>
  <c r="AB77" i="30"/>
  <c r="AC77" i="30"/>
  <c r="C78" i="30"/>
  <c r="D78" i="30"/>
  <c r="E78" i="30"/>
  <c r="F78" i="30"/>
  <c r="G78" i="30"/>
  <c r="H78" i="30"/>
  <c r="I78" i="30"/>
  <c r="J78" i="30"/>
  <c r="K78" i="30"/>
  <c r="L78" i="30"/>
  <c r="M78" i="30"/>
  <c r="N78" i="30"/>
  <c r="O78" i="30"/>
  <c r="P78" i="30"/>
  <c r="Q78" i="30"/>
  <c r="R78" i="30"/>
  <c r="S78" i="30"/>
  <c r="T78" i="30"/>
  <c r="U78" i="30"/>
  <c r="V78" i="30"/>
  <c r="W78" i="30"/>
  <c r="X78" i="30"/>
  <c r="Y78" i="30"/>
  <c r="Z78" i="30"/>
  <c r="AA78" i="30"/>
  <c r="AB78" i="30"/>
  <c r="AC78" i="30"/>
  <c r="C79" i="30"/>
  <c r="D79" i="30"/>
  <c r="E79" i="30"/>
  <c r="F79" i="30"/>
  <c r="G79" i="30"/>
  <c r="H79" i="30"/>
  <c r="I79" i="30"/>
  <c r="J79" i="30"/>
  <c r="K79" i="30"/>
  <c r="L79" i="30"/>
  <c r="M79" i="30"/>
  <c r="N79" i="30"/>
  <c r="O79" i="30"/>
  <c r="P79" i="30"/>
  <c r="Q79" i="30"/>
  <c r="R79" i="30"/>
  <c r="S79" i="30"/>
  <c r="T79" i="30"/>
  <c r="U79" i="30"/>
  <c r="V79" i="30"/>
  <c r="W79" i="30"/>
  <c r="X79" i="30"/>
  <c r="Y79" i="30"/>
  <c r="Z79" i="30"/>
  <c r="AA79" i="30"/>
  <c r="AB79" i="30"/>
  <c r="AC79" i="30"/>
  <c r="C80" i="30"/>
  <c r="D80" i="30"/>
  <c r="E80" i="30"/>
  <c r="F80" i="30"/>
  <c r="G80" i="30"/>
  <c r="H80" i="30"/>
  <c r="I80" i="30"/>
  <c r="J80" i="30"/>
  <c r="K80" i="30"/>
  <c r="L80" i="30"/>
  <c r="M80" i="30"/>
  <c r="N80" i="30"/>
  <c r="O80" i="30"/>
  <c r="P80" i="30"/>
  <c r="Q80" i="30"/>
  <c r="R80" i="30"/>
  <c r="S80" i="30"/>
  <c r="T80" i="30"/>
  <c r="U80" i="30"/>
  <c r="V80" i="30"/>
  <c r="W80" i="30"/>
  <c r="X80" i="30"/>
  <c r="Y80" i="30"/>
  <c r="Z80" i="30"/>
  <c r="AA80" i="30"/>
  <c r="AB80" i="30"/>
  <c r="AC80" i="30"/>
  <c r="C81" i="30"/>
  <c r="D81" i="30"/>
  <c r="E81" i="30"/>
  <c r="F81" i="30"/>
  <c r="G81" i="30"/>
  <c r="H81" i="30"/>
  <c r="I81" i="30"/>
  <c r="J81" i="30"/>
  <c r="K81" i="30"/>
  <c r="L81" i="30"/>
  <c r="M81" i="30"/>
  <c r="N81" i="30"/>
  <c r="O81" i="30"/>
  <c r="P81" i="30"/>
  <c r="Q81" i="30"/>
  <c r="R81" i="30"/>
  <c r="S81" i="30"/>
  <c r="T81" i="30"/>
  <c r="U81" i="30"/>
  <c r="V81" i="30"/>
  <c r="W81" i="30"/>
  <c r="X81" i="30"/>
  <c r="Y81" i="30"/>
  <c r="Z81" i="30"/>
  <c r="AA81" i="30"/>
  <c r="AB81" i="30"/>
  <c r="AC81" i="30"/>
  <c r="C82" i="30"/>
  <c r="D82" i="30"/>
  <c r="E82" i="30"/>
  <c r="F82" i="30"/>
  <c r="G82" i="30"/>
  <c r="H82" i="30"/>
  <c r="I82" i="30"/>
  <c r="J82" i="30"/>
  <c r="K82" i="30"/>
  <c r="L82" i="30"/>
  <c r="M82" i="30"/>
  <c r="N82" i="30"/>
  <c r="O82" i="30"/>
  <c r="P82" i="30"/>
  <c r="Q82" i="30"/>
  <c r="R82" i="30"/>
  <c r="S82" i="30"/>
  <c r="T82" i="30"/>
  <c r="U82" i="30"/>
  <c r="V82" i="30"/>
  <c r="W82" i="30"/>
  <c r="X82" i="30"/>
  <c r="Y82" i="30"/>
  <c r="Z82" i="30"/>
  <c r="AA82" i="30"/>
  <c r="AB82" i="30"/>
  <c r="AC82" i="30"/>
  <c r="C83" i="30"/>
  <c r="D83" i="30"/>
  <c r="E83" i="30"/>
  <c r="F83" i="30"/>
  <c r="G83" i="30"/>
  <c r="H83" i="30"/>
  <c r="I83" i="30"/>
  <c r="J83" i="30"/>
  <c r="K83" i="30"/>
  <c r="L83" i="30"/>
  <c r="M83" i="30"/>
  <c r="N83" i="30"/>
  <c r="O83" i="30"/>
  <c r="P83" i="30"/>
  <c r="Q83" i="30"/>
  <c r="R83" i="30"/>
  <c r="S83" i="30"/>
  <c r="T83" i="30"/>
  <c r="U83" i="30"/>
  <c r="V83" i="30"/>
  <c r="W83" i="30"/>
  <c r="X83" i="30"/>
  <c r="Y83" i="30"/>
  <c r="Z83" i="30"/>
  <c r="AA83" i="30"/>
  <c r="AB83" i="30"/>
  <c r="AC83" i="30"/>
  <c r="C84" i="30"/>
  <c r="D84" i="30"/>
  <c r="E84" i="30"/>
  <c r="F84" i="30"/>
  <c r="G84" i="30"/>
  <c r="H84" i="30"/>
  <c r="I84" i="30"/>
  <c r="J84" i="30"/>
  <c r="K84" i="30"/>
  <c r="L84" i="30"/>
  <c r="M84" i="30"/>
  <c r="N84" i="30"/>
  <c r="O84" i="30"/>
  <c r="P84" i="30"/>
  <c r="Q84" i="30"/>
  <c r="R84" i="30"/>
  <c r="S84" i="30"/>
  <c r="T84" i="30"/>
  <c r="U84" i="30"/>
  <c r="V84" i="30"/>
  <c r="W84" i="30"/>
  <c r="X84" i="30"/>
  <c r="Y84" i="30"/>
  <c r="Z84" i="30"/>
  <c r="AA84" i="30"/>
  <c r="AB84" i="30"/>
  <c r="AC84" i="30"/>
  <c r="C85" i="30"/>
  <c r="D85" i="30"/>
  <c r="E85" i="30"/>
  <c r="F85" i="30"/>
  <c r="G85" i="30"/>
  <c r="H85" i="30"/>
  <c r="I85" i="30"/>
  <c r="J85" i="30"/>
  <c r="K85" i="30"/>
  <c r="L85" i="30"/>
  <c r="M85" i="30"/>
  <c r="N85" i="30"/>
  <c r="O85" i="30"/>
  <c r="P85" i="30"/>
  <c r="Q85" i="30"/>
  <c r="R85" i="30"/>
  <c r="S85" i="30"/>
  <c r="T85" i="30"/>
  <c r="U85" i="30"/>
  <c r="V85" i="30"/>
  <c r="W85" i="30"/>
  <c r="X85" i="30"/>
  <c r="Y85" i="30"/>
  <c r="Z85" i="30"/>
  <c r="AA85" i="30"/>
  <c r="AB85" i="30"/>
  <c r="AC85" i="30"/>
  <c r="C86" i="30"/>
  <c r="D86" i="30"/>
  <c r="E86" i="30"/>
  <c r="F86" i="30"/>
  <c r="G86" i="30"/>
  <c r="H86" i="30"/>
  <c r="I86" i="30"/>
  <c r="J86" i="30"/>
  <c r="K86" i="30"/>
  <c r="L86" i="30"/>
  <c r="M86" i="30"/>
  <c r="N86" i="30"/>
  <c r="O86" i="30"/>
  <c r="P86" i="30"/>
  <c r="Q86" i="30"/>
  <c r="R86" i="30"/>
  <c r="S86" i="30"/>
  <c r="T86" i="30"/>
  <c r="U86" i="30"/>
  <c r="V86" i="30"/>
  <c r="W86" i="30"/>
  <c r="X86" i="30"/>
  <c r="Y86" i="30"/>
  <c r="Z86" i="30"/>
  <c r="AA86" i="30"/>
  <c r="AB86" i="30"/>
  <c r="AC86" i="30"/>
  <c r="C87" i="30"/>
  <c r="D87" i="30"/>
  <c r="E87" i="30"/>
  <c r="F87" i="30"/>
  <c r="G87" i="30"/>
  <c r="H87" i="30"/>
  <c r="I87" i="30"/>
  <c r="J87" i="30"/>
  <c r="K87" i="30"/>
  <c r="L87" i="30"/>
  <c r="M87" i="30"/>
  <c r="N87" i="30"/>
  <c r="O87" i="30"/>
  <c r="P87" i="30"/>
  <c r="Q87" i="30"/>
  <c r="R87" i="30"/>
  <c r="S87" i="30"/>
  <c r="T87" i="30"/>
  <c r="U87" i="30"/>
  <c r="V87" i="30"/>
  <c r="W87" i="30"/>
  <c r="X87" i="30"/>
  <c r="Y87" i="30"/>
  <c r="Z87" i="30"/>
  <c r="AA87" i="30"/>
  <c r="AB87" i="30"/>
  <c r="AC87" i="30"/>
  <c r="C88" i="30"/>
  <c r="D88" i="30"/>
  <c r="E88" i="30"/>
  <c r="F88" i="30"/>
  <c r="G88" i="30"/>
  <c r="H88" i="30"/>
  <c r="I88" i="30"/>
  <c r="J88" i="30"/>
  <c r="K88" i="30"/>
  <c r="L88" i="30"/>
  <c r="M88" i="30"/>
  <c r="N88" i="30"/>
  <c r="O88" i="30"/>
  <c r="P88" i="30"/>
  <c r="Q88" i="30"/>
  <c r="R88" i="30"/>
  <c r="S88" i="30"/>
  <c r="T88" i="30"/>
  <c r="U88" i="30"/>
  <c r="V88" i="30"/>
  <c r="W88" i="30"/>
  <c r="X88" i="30"/>
  <c r="Y88" i="30"/>
  <c r="Z88" i="30"/>
  <c r="AA88" i="30"/>
  <c r="AB88" i="30"/>
  <c r="AC88" i="30"/>
  <c r="C89" i="30"/>
  <c r="D89" i="30"/>
  <c r="E89" i="30"/>
  <c r="F89" i="30"/>
  <c r="G89" i="30"/>
  <c r="H89" i="30"/>
  <c r="I89" i="30"/>
  <c r="J89" i="30"/>
  <c r="K89" i="30"/>
  <c r="L89" i="30"/>
  <c r="M89" i="30"/>
  <c r="N89" i="30"/>
  <c r="O89" i="30"/>
  <c r="P89" i="30"/>
  <c r="Q89" i="30"/>
  <c r="R89" i="30"/>
  <c r="S89" i="30"/>
  <c r="T89" i="30"/>
  <c r="U89" i="30"/>
  <c r="V89" i="30"/>
  <c r="W89" i="30"/>
  <c r="X89" i="30"/>
  <c r="Y89" i="30"/>
  <c r="Z89" i="30"/>
  <c r="AA89" i="30"/>
  <c r="AB89" i="30"/>
  <c r="AC89" i="30"/>
  <c r="C90" i="30"/>
  <c r="D90" i="30"/>
  <c r="E90" i="30"/>
  <c r="F90" i="30"/>
  <c r="G90" i="30"/>
  <c r="H90" i="30"/>
  <c r="I90" i="30"/>
  <c r="J90" i="30"/>
  <c r="K90" i="30"/>
  <c r="L90" i="30"/>
  <c r="M90" i="30"/>
  <c r="N90" i="30"/>
  <c r="O90" i="30"/>
  <c r="P90" i="30"/>
  <c r="Q90" i="30"/>
  <c r="R90" i="30"/>
  <c r="S90" i="30"/>
  <c r="T90" i="30"/>
  <c r="U90" i="30"/>
  <c r="V90" i="30"/>
  <c r="W90" i="30"/>
  <c r="X90" i="30"/>
  <c r="Y90" i="30"/>
  <c r="Z90" i="30"/>
  <c r="AA90" i="30"/>
  <c r="AB90" i="30"/>
  <c r="AC90" i="30"/>
  <c r="C91" i="30"/>
  <c r="D91" i="30"/>
  <c r="E91" i="30"/>
  <c r="F91" i="30"/>
  <c r="G91" i="30"/>
  <c r="H91" i="30"/>
  <c r="I91" i="30"/>
  <c r="J91" i="30"/>
  <c r="K91" i="30"/>
  <c r="L91" i="30"/>
  <c r="M91" i="30"/>
  <c r="N91" i="30"/>
  <c r="O91" i="30"/>
  <c r="P91" i="30"/>
  <c r="Q91" i="30"/>
  <c r="R91" i="30"/>
  <c r="S91" i="30"/>
  <c r="T91" i="30"/>
  <c r="U91" i="30"/>
  <c r="V91" i="30"/>
  <c r="W91" i="30"/>
  <c r="X91" i="30"/>
  <c r="Y91" i="30"/>
  <c r="Z91" i="30"/>
  <c r="AA91" i="30"/>
  <c r="AB91" i="30"/>
  <c r="AC91" i="30"/>
  <c r="C92" i="30"/>
  <c r="D92" i="30"/>
  <c r="E92" i="30"/>
  <c r="F92" i="30"/>
  <c r="G92" i="30"/>
  <c r="H92" i="30"/>
  <c r="I92" i="30"/>
  <c r="J92" i="30"/>
  <c r="K92" i="30"/>
  <c r="L92" i="30"/>
  <c r="M92" i="30"/>
  <c r="N92" i="30"/>
  <c r="O92" i="30"/>
  <c r="P92" i="30"/>
  <c r="Q92" i="30"/>
  <c r="R92" i="30"/>
  <c r="S92" i="30"/>
  <c r="T92" i="30"/>
  <c r="U92" i="30"/>
  <c r="V92" i="30"/>
  <c r="W92" i="30"/>
  <c r="X92" i="30"/>
  <c r="Y92" i="30"/>
  <c r="Z92" i="30"/>
  <c r="AA92" i="30"/>
  <c r="AB92" i="30"/>
  <c r="AC92"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C61" i="46"/>
  <c r="D61" i="46"/>
  <c r="E61" i="46"/>
  <c r="F61" i="46"/>
  <c r="G61" i="46"/>
  <c r="H61" i="46"/>
  <c r="I61" i="46"/>
  <c r="J61" i="46"/>
  <c r="K61" i="46"/>
  <c r="L61" i="46"/>
  <c r="M61" i="46"/>
  <c r="C62" i="46"/>
  <c r="D62" i="46"/>
  <c r="E62" i="46"/>
  <c r="F62" i="46"/>
  <c r="G62" i="46"/>
  <c r="H62" i="46"/>
  <c r="I62" i="46"/>
  <c r="J62" i="46"/>
  <c r="K62" i="46"/>
  <c r="L62" i="46"/>
  <c r="M62" i="46"/>
  <c r="C63" i="46"/>
  <c r="D63" i="46"/>
  <c r="E63" i="46"/>
  <c r="F63" i="46"/>
  <c r="G63" i="46"/>
  <c r="H63" i="46"/>
  <c r="I63" i="46"/>
  <c r="J63" i="46"/>
  <c r="K63" i="46"/>
  <c r="L63" i="46"/>
  <c r="M63" i="46"/>
  <c r="C64" i="46"/>
  <c r="D64" i="46"/>
  <c r="E64" i="46"/>
  <c r="F64" i="46"/>
  <c r="G64" i="46"/>
  <c r="H64" i="46"/>
  <c r="I64" i="46"/>
  <c r="J64" i="46"/>
  <c r="K64" i="46"/>
  <c r="L64" i="46"/>
  <c r="M64" i="46"/>
  <c r="C65" i="46"/>
  <c r="D65" i="46"/>
  <c r="E65" i="46"/>
  <c r="F65" i="46"/>
  <c r="G65" i="46"/>
  <c r="H65" i="46"/>
  <c r="I65" i="46"/>
  <c r="J65" i="46"/>
  <c r="K65" i="46"/>
  <c r="L65" i="46"/>
  <c r="M65" i="46"/>
  <c r="C66" i="46"/>
  <c r="D66" i="46"/>
  <c r="E66" i="46"/>
  <c r="F66" i="46"/>
  <c r="G66" i="46"/>
  <c r="H66" i="46"/>
  <c r="I66" i="46"/>
  <c r="J66" i="46"/>
  <c r="K66" i="46"/>
  <c r="L66" i="46"/>
  <c r="M66" i="46"/>
  <c r="C67" i="46"/>
  <c r="D67" i="46"/>
  <c r="E67" i="46"/>
  <c r="F67" i="46"/>
  <c r="G67" i="46"/>
  <c r="H67" i="46"/>
  <c r="I67" i="46"/>
  <c r="J67" i="46"/>
  <c r="K67" i="46"/>
  <c r="L67" i="46"/>
  <c r="M67" i="46"/>
  <c r="C68" i="46"/>
  <c r="D68" i="46"/>
  <c r="E68" i="46"/>
  <c r="F68" i="46"/>
  <c r="G68" i="46"/>
  <c r="H68" i="46"/>
  <c r="I68" i="46"/>
  <c r="J68" i="46"/>
  <c r="K68" i="46"/>
  <c r="L68" i="46"/>
  <c r="M68" i="46"/>
  <c r="C69" i="46"/>
  <c r="D69" i="46"/>
  <c r="E69" i="46"/>
  <c r="F69" i="46"/>
  <c r="G69" i="46"/>
  <c r="H69" i="46"/>
  <c r="I69" i="46"/>
  <c r="J69" i="46"/>
  <c r="K69" i="46"/>
  <c r="L69" i="46"/>
  <c r="M69" i="46"/>
  <c r="C70" i="46"/>
  <c r="D70" i="46"/>
  <c r="E70" i="46"/>
  <c r="F70" i="46"/>
  <c r="G70" i="46"/>
  <c r="H70" i="46"/>
  <c r="I70" i="46"/>
  <c r="J70" i="46"/>
  <c r="K70" i="46"/>
  <c r="L70" i="46"/>
  <c r="M70" i="46"/>
  <c r="C71" i="46"/>
  <c r="D71" i="46"/>
  <c r="E71" i="46"/>
  <c r="F71" i="46"/>
  <c r="G71" i="46"/>
  <c r="H71" i="46"/>
  <c r="I71" i="46"/>
  <c r="J71" i="46"/>
  <c r="K71" i="46"/>
  <c r="L71" i="46"/>
  <c r="M71" i="46"/>
  <c r="C72" i="46"/>
  <c r="D72" i="46"/>
  <c r="E72" i="46"/>
  <c r="F72" i="46"/>
  <c r="G72" i="46"/>
  <c r="H72" i="46"/>
  <c r="I72" i="46"/>
  <c r="J72" i="46"/>
  <c r="K72" i="46"/>
  <c r="L72" i="46"/>
  <c r="M72" i="46"/>
  <c r="C73" i="46"/>
  <c r="D73" i="46"/>
  <c r="E73" i="46"/>
  <c r="F73" i="46"/>
  <c r="G73" i="46"/>
  <c r="H73" i="46"/>
  <c r="I73" i="46"/>
  <c r="J73" i="46"/>
  <c r="K73" i="46"/>
  <c r="L73" i="46"/>
  <c r="M73" i="46"/>
  <c r="C74" i="46"/>
  <c r="D74" i="46"/>
  <c r="E74" i="46"/>
  <c r="F74" i="46"/>
  <c r="G74" i="46"/>
  <c r="H74" i="46"/>
  <c r="I74" i="46"/>
  <c r="J74" i="46"/>
  <c r="K74" i="46"/>
  <c r="L74" i="46"/>
  <c r="M74" i="46"/>
  <c r="C75" i="46"/>
  <c r="D75" i="46"/>
  <c r="E75" i="46"/>
  <c r="F75" i="46"/>
  <c r="G75" i="46"/>
  <c r="H75" i="46"/>
  <c r="I75" i="46"/>
  <c r="J75" i="46"/>
  <c r="K75" i="46"/>
  <c r="L75" i="46"/>
  <c r="M75" i="46"/>
  <c r="C76" i="46"/>
  <c r="D76" i="46"/>
  <c r="E76" i="46"/>
  <c r="F76" i="46"/>
  <c r="G76" i="46"/>
  <c r="H76" i="46"/>
  <c r="I76" i="46"/>
  <c r="J76" i="46"/>
  <c r="K76" i="46"/>
  <c r="L76" i="46"/>
  <c r="M76" i="46"/>
  <c r="C77" i="46"/>
  <c r="D77" i="46"/>
  <c r="E77" i="46"/>
  <c r="F77" i="46"/>
  <c r="G77" i="46"/>
  <c r="H77" i="46"/>
  <c r="I77" i="46"/>
  <c r="J77" i="46"/>
  <c r="K77" i="46"/>
  <c r="L77" i="46"/>
  <c r="M77" i="46"/>
  <c r="C78" i="46"/>
  <c r="D78" i="46"/>
  <c r="E78" i="46"/>
  <c r="F78" i="46"/>
  <c r="G78" i="46"/>
  <c r="H78" i="46"/>
  <c r="I78" i="46"/>
  <c r="J78" i="46"/>
  <c r="K78" i="46"/>
  <c r="L78" i="46"/>
  <c r="M78" i="46"/>
  <c r="C79" i="46"/>
  <c r="D79" i="46"/>
  <c r="E79" i="46"/>
  <c r="F79" i="46"/>
  <c r="G79" i="46"/>
  <c r="H79" i="46"/>
  <c r="I79" i="46"/>
  <c r="J79" i="46"/>
  <c r="K79" i="46"/>
  <c r="L79" i="46"/>
  <c r="M79" i="46"/>
  <c r="C80" i="46"/>
  <c r="D80" i="46"/>
  <c r="E80" i="46"/>
  <c r="F80" i="46"/>
  <c r="G80" i="46"/>
  <c r="H80" i="46"/>
  <c r="I80" i="46"/>
  <c r="J80" i="46"/>
  <c r="K80" i="46"/>
  <c r="L80" i="46"/>
  <c r="M80" i="46"/>
  <c r="C81" i="46"/>
  <c r="D81" i="46"/>
  <c r="E81" i="46"/>
  <c r="F81" i="46"/>
  <c r="G81" i="46"/>
  <c r="H81" i="46"/>
  <c r="I81" i="46"/>
  <c r="J81" i="46"/>
  <c r="K81" i="46"/>
  <c r="L81" i="46"/>
  <c r="M81" i="46"/>
  <c r="C82" i="46"/>
  <c r="D82" i="46"/>
  <c r="E82" i="46"/>
  <c r="F82" i="46"/>
  <c r="G82" i="46"/>
  <c r="H82" i="46"/>
  <c r="I82" i="46"/>
  <c r="J82" i="46"/>
  <c r="K82" i="46"/>
  <c r="L82" i="46"/>
  <c r="M82" i="46"/>
  <c r="C83" i="46"/>
  <c r="D83" i="46"/>
  <c r="E83" i="46"/>
  <c r="F83" i="46"/>
  <c r="G83" i="46"/>
  <c r="H83" i="46"/>
  <c r="I83" i="46"/>
  <c r="J83" i="46"/>
  <c r="K83" i="46"/>
  <c r="L83" i="46"/>
  <c r="M83" i="46"/>
  <c r="C84" i="46"/>
  <c r="D84" i="46"/>
  <c r="E84" i="46"/>
  <c r="F84" i="46"/>
  <c r="G84" i="46"/>
  <c r="H84" i="46"/>
  <c r="I84" i="46"/>
  <c r="J84" i="46"/>
  <c r="K84" i="46"/>
  <c r="L84" i="46"/>
  <c r="M84" i="46"/>
  <c r="C85" i="46"/>
  <c r="D85" i="46"/>
  <c r="E85" i="46"/>
  <c r="F85" i="46"/>
  <c r="G85" i="46"/>
  <c r="H85" i="46"/>
  <c r="I85" i="46"/>
  <c r="J85" i="46"/>
  <c r="K85" i="46"/>
  <c r="L85" i="46"/>
  <c r="M85" i="46"/>
  <c r="C86" i="46"/>
  <c r="D86" i="46"/>
  <c r="E86" i="46"/>
  <c r="F86" i="46"/>
  <c r="G86" i="46"/>
  <c r="H86" i="46"/>
  <c r="I86" i="46"/>
  <c r="J86" i="46"/>
  <c r="K86" i="46"/>
  <c r="L86" i="46"/>
  <c r="M86" i="46"/>
  <c r="C87" i="46"/>
  <c r="D87" i="46"/>
  <c r="E87" i="46"/>
  <c r="F87" i="46"/>
  <c r="G87" i="46"/>
  <c r="H87" i="46"/>
  <c r="I87" i="46"/>
  <c r="J87" i="46"/>
  <c r="K87" i="46"/>
  <c r="L87" i="46"/>
  <c r="M87" i="46"/>
  <c r="C88" i="46"/>
  <c r="D88" i="46"/>
  <c r="E88" i="46"/>
  <c r="F88" i="46"/>
  <c r="G88" i="46"/>
  <c r="H88" i="46"/>
  <c r="I88" i="46"/>
  <c r="J88" i="46"/>
  <c r="K88" i="46"/>
  <c r="L88" i="46"/>
  <c r="M88" i="46"/>
  <c r="C89" i="46"/>
  <c r="D89" i="46"/>
  <c r="E89" i="46"/>
  <c r="F89" i="46"/>
  <c r="G89" i="46"/>
  <c r="H89" i="46"/>
  <c r="I89" i="46"/>
  <c r="J89" i="46"/>
  <c r="K89" i="46"/>
  <c r="L89" i="46"/>
  <c r="M89" i="46"/>
  <c r="C90" i="46"/>
  <c r="D90" i="46"/>
  <c r="E90" i="46"/>
  <c r="F90" i="46"/>
  <c r="G90" i="46"/>
  <c r="H90" i="46"/>
  <c r="I90" i="46"/>
  <c r="J90" i="46"/>
  <c r="K90" i="46"/>
  <c r="L90" i="46"/>
  <c r="M90" i="46"/>
  <c r="C91" i="46"/>
  <c r="D91" i="46"/>
  <c r="E91" i="46"/>
  <c r="F91" i="46"/>
  <c r="G91" i="46"/>
  <c r="H91" i="46"/>
  <c r="I91" i="46"/>
  <c r="J91" i="46"/>
  <c r="K91" i="46"/>
  <c r="L91" i="46"/>
  <c r="M91" i="46"/>
  <c r="C92" i="46"/>
  <c r="D92" i="46"/>
  <c r="E92" i="46"/>
  <c r="F92" i="46"/>
  <c r="G92" i="46"/>
  <c r="H92" i="46"/>
  <c r="I92" i="46"/>
  <c r="J92" i="46"/>
  <c r="K92" i="46"/>
  <c r="L92" i="46"/>
  <c r="M92" i="46"/>
  <c r="B92" i="46"/>
  <c r="B91" i="46"/>
  <c r="B90" i="46"/>
  <c r="B89" i="46"/>
  <c r="B88" i="46"/>
  <c r="B87" i="46"/>
  <c r="B86" i="46"/>
  <c r="B85" i="46"/>
  <c r="B84" i="46"/>
  <c r="B83" i="46"/>
  <c r="B82" i="46"/>
  <c r="B81" i="46"/>
  <c r="B80" i="46"/>
  <c r="B79" i="46"/>
  <c r="B78" i="46"/>
  <c r="B77" i="46"/>
  <c r="B76" i="46"/>
  <c r="B75" i="46"/>
  <c r="B74" i="46"/>
  <c r="B73" i="46"/>
  <c r="B72" i="46"/>
  <c r="B71" i="46"/>
  <c r="B70" i="46"/>
  <c r="B69" i="46"/>
  <c r="B68" i="46"/>
  <c r="B67" i="46"/>
  <c r="B66" i="46"/>
  <c r="B65" i="46"/>
  <c r="B64" i="46"/>
  <c r="B63" i="46"/>
  <c r="B62" i="46"/>
  <c r="B61" i="46"/>
  <c r="C61" i="47"/>
  <c r="D61" i="47"/>
  <c r="E61" i="47"/>
  <c r="F61" i="47"/>
  <c r="G61" i="47"/>
  <c r="H61" i="47"/>
  <c r="I61" i="47"/>
  <c r="J61" i="47"/>
  <c r="K61" i="47"/>
  <c r="L61" i="47"/>
  <c r="M61" i="47"/>
  <c r="C62" i="47"/>
  <c r="D62" i="47"/>
  <c r="E62" i="47"/>
  <c r="F62" i="47"/>
  <c r="G62" i="47"/>
  <c r="H62" i="47"/>
  <c r="I62" i="47"/>
  <c r="J62" i="47"/>
  <c r="K62" i="47"/>
  <c r="L62" i="47"/>
  <c r="M62" i="47"/>
  <c r="C63" i="47"/>
  <c r="D63" i="47"/>
  <c r="E63" i="47"/>
  <c r="F63" i="47"/>
  <c r="G63" i="47"/>
  <c r="H63" i="47"/>
  <c r="I63" i="47"/>
  <c r="J63" i="47"/>
  <c r="K63" i="47"/>
  <c r="L63" i="47"/>
  <c r="M63" i="47"/>
  <c r="C64" i="47"/>
  <c r="D64" i="47"/>
  <c r="E64" i="47"/>
  <c r="F64" i="47"/>
  <c r="G64" i="47"/>
  <c r="H64" i="47"/>
  <c r="I64" i="47"/>
  <c r="J64" i="47"/>
  <c r="K64" i="47"/>
  <c r="L64" i="47"/>
  <c r="M64" i="47"/>
  <c r="C65" i="47"/>
  <c r="D65" i="47"/>
  <c r="E65" i="47"/>
  <c r="F65" i="47"/>
  <c r="G65" i="47"/>
  <c r="H65" i="47"/>
  <c r="I65" i="47"/>
  <c r="J65" i="47"/>
  <c r="K65" i="47"/>
  <c r="L65" i="47"/>
  <c r="M65" i="47"/>
  <c r="C66" i="47"/>
  <c r="D66" i="47"/>
  <c r="E66" i="47"/>
  <c r="F66" i="47"/>
  <c r="G66" i="47"/>
  <c r="H66" i="47"/>
  <c r="I66" i="47"/>
  <c r="J66" i="47"/>
  <c r="K66" i="47"/>
  <c r="L66" i="47"/>
  <c r="M66" i="47"/>
  <c r="C67" i="47"/>
  <c r="D67" i="47"/>
  <c r="E67" i="47"/>
  <c r="F67" i="47"/>
  <c r="G67" i="47"/>
  <c r="H67" i="47"/>
  <c r="I67" i="47"/>
  <c r="J67" i="47"/>
  <c r="K67" i="47"/>
  <c r="L67" i="47"/>
  <c r="M67" i="47"/>
  <c r="C68" i="47"/>
  <c r="D68" i="47"/>
  <c r="E68" i="47"/>
  <c r="F68" i="47"/>
  <c r="G68" i="47"/>
  <c r="H68" i="47"/>
  <c r="I68" i="47"/>
  <c r="J68" i="47"/>
  <c r="K68" i="47"/>
  <c r="L68" i="47"/>
  <c r="M68" i="47"/>
  <c r="C69" i="47"/>
  <c r="D69" i="47"/>
  <c r="E69" i="47"/>
  <c r="F69" i="47"/>
  <c r="G69" i="47"/>
  <c r="H69" i="47"/>
  <c r="I69" i="47"/>
  <c r="J69" i="47"/>
  <c r="K69" i="47"/>
  <c r="L69" i="47"/>
  <c r="M69" i="47"/>
  <c r="C70" i="47"/>
  <c r="D70" i="47"/>
  <c r="E70" i="47"/>
  <c r="F70" i="47"/>
  <c r="G70" i="47"/>
  <c r="H70" i="47"/>
  <c r="I70" i="47"/>
  <c r="J70" i="47"/>
  <c r="K70" i="47"/>
  <c r="L70" i="47"/>
  <c r="M70" i="47"/>
  <c r="C71" i="47"/>
  <c r="D71" i="47"/>
  <c r="E71" i="47"/>
  <c r="F71" i="47"/>
  <c r="G71" i="47"/>
  <c r="H71" i="47"/>
  <c r="I71" i="47"/>
  <c r="J71" i="47"/>
  <c r="K71" i="47"/>
  <c r="L71" i="47"/>
  <c r="M71" i="47"/>
  <c r="C72" i="47"/>
  <c r="D72" i="47"/>
  <c r="E72" i="47"/>
  <c r="F72" i="47"/>
  <c r="G72" i="47"/>
  <c r="H72" i="47"/>
  <c r="I72" i="47"/>
  <c r="J72" i="47"/>
  <c r="K72" i="47"/>
  <c r="L72" i="47"/>
  <c r="M72" i="47"/>
  <c r="C73" i="47"/>
  <c r="D73" i="47"/>
  <c r="E73" i="47"/>
  <c r="F73" i="47"/>
  <c r="G73" i="47"/>
  <c r="H73" i="47"/>
  <c r="I73" i="47"/>
  <c r="J73" i="47"/>
  <c r="K73" i="47"/>
  <c r="L73" i="47"/>
  <c r="M73" i="47"/>
  <c r="C74" i="47"/>
  <c r="D74" i="47"/>
  <c r="E74" i="47"/>
  <c r="F74" i="47"/>
  <c r="G74" i="47"/>
  <c r="H74" i="47"/>
  <c r="I74" i="47"/>
  <c r="J74" i="47"/>
  <c r="K74" i="47"/>
  <c r="L74" i="47"/>
  <c r="M74" i="47"/>
  <c r="C75" i="47"/>
  <c r="D75" i="47"/>
  <c r="E75" i="47"/>
  <c r="F75" i="47"/>
  <c r="G75" i="47"/>
  <c r="H75" i="47"/>
  <c r="I75" i="47"/>
  <c r="J75" i="47"/>
  <c r="K75" i="47"/>
  <c r="L75" i="47"/>
  <c r="M75" i="47"/>
  <c r="C76" i="47"/>
  <c r="D76" i="47"/>
  <c r="E76" i="47"/>
  <c r="F76" i="47"/>
  <c r="G76" i="47"/>
  <c r="H76" i="47"/>
  <c r="I76" i="47"/>
  <c r="J76" i="47"/>
  <c r="K76" i="47"/>
  <c r="L76" i="47"/>
  <c r="M76" i="47"/>
  <c r="C77" i="47"/>
  <c r="D77" i="47"/>
  <c r="E77" i="47"/>
  <c r="F77" i="47"/>
  <c r="G77" i="47"/>
  <c r="H77" i="47"/>
  <c r="I77" i="47"/>
  <c r="J77" i="47"/>
  <c r="K77" i="47"/>
  <c r="L77" i="47"/>
  <c r="M77" i="47"/>
  <c r="C78" i="47"/>
  <c r="D78" i="47"/>
  <c r="E78" i="47"/>
  <c r="F78" i="47"/>
  <c r="G78" i="47"/>
  <c r="H78" i="47"/>
  <c r="I78" i="47"/>
  <c r="J78" i="47"/>
  <c r="K78" i="47"/>
  <c r="L78" i="47"/>
  <c r="M78" i="47"/>
  <c r="C79" i="47"/>
  <c r="D79" i="47"/>
  <c r="E79" i="47"/>
  <c r="F79" i="47"/>
  <c r="G79" i="47"/>
  <c r="H79" i="47"/>
  <c r="I79" i="47"/>
  <c r="J79" i="47"/>
  <c r="K79" i="47"/>
  <c r="L79" i="47"/>
  <c r="M79" i="47"/>
  <c r="C80" i="47"/>
  <c r="D80" i="47"/>
  <c r="E80" i="47"/>
  <c r="F80" i="47"/>
  <c r="G80" i="47"/>
  <c r="H80" i="47"/>
  <c r="I80" i="47"/>
  <c r="J80" i="47"/>
  <c r="K80" i="47"/>
  <c r="L80" i="47"/>
  <c r="M80" i="47"/>
  <c r="C81" i="47"/>
  <c r="D81" i="47"/>
  <c r="E81" i="47"/>
  <c r="F81" i="47"/>
  <c r="G81" i="47"/>
  <c r="H81" i="47"/>
  <c r="I81" i="47"/>
  <c r="J81" i="47"/>
  <c r="K81" i="47"/>
  <c r="L81" i="47"/>
  <c r="M81" i="47"/>
  <c r="C82" i="47"/>
  <c r="D82" i="47"/>
  <c r="E82" i="47"/>
  <c r="F82" i="47"/>
  <c r="G82" i="47"/>
  <c r="H82" i="47"/>
  <c r="I82" i="47"/>
  <c r="J82" i="47"/>
  <c r="K82" i="47"/>
  <c r="L82" i="47"/>
  <c r="M82" i="47"/>
  <c r="C83" i="47"/>
  <c r="D83" i="47"/>
  <c r="E83" i="47"/>
  <c r="F83" i="47"/>
  <c r="G83" i="47"/>
  <c r="H83" i="47"/>
  <c r="I83" i="47"/>
  <c r="J83" i="47"/>
  <c r="K83" i="47"/>
  <c r="L83" i="47"/>
  <c r="M83" i="47"/>
  <c r="C84" i="47"/>
  <c r="D84" i="47"/>
  <c r="E84" i="47"/>
  <c r="F84" i="47"/>
  <c r="G84" i="47"/>
  <c r="H84" i="47"/>
  <c r="I84" i="47"/>
  <c r="J84" i="47"/>
  <c r="K84" i="47"/>
  <c r="L84" i="47"/>
  <c r="M84" i="47"/>
  <c r="C85" i="47"/>
  <c r="D85" i="47"/>
  <c r="E85" i="47"/>
  <c r="F85" i="47"/>
  <c r="G85" i="47"/>
  <c r="H85" i="47"/>
  <c r="I85" i="47"/>
  <c r="J85" i="47"/>
  <c r="K85" i="47"/>
  <c r="L85" i="47"/>
  <c r="M85" i="47"/>
  <c r="C86" i="47"/>
  <c r="D86" i="47"/>
  <c r="E86" i="47"/>
  <c r="F86" i="47"/>
  <c r="G86" i="47"/>
  <c r="H86" i="47"/>
  <c r="I86" i="47"/>
  <c r="J86" i="47"/>
  <c r="K86" i="47"/>
  <c r="L86" i="47"/>
  <c r="M86" i="47"/>
  <c r="C87" i="47"/>
  <c r="D87" i="47"/>
  <c r="E87" i="47"/>
  <c r="F87" i="47"/>
  <c r="G87" i="47"/>
  <c r="H87" i="47"/>
  <c r="I87" i="47"/>
  <c r="J87" i="47"/>
  <c r="K87" i="47"/>
  <c r="L87" i="47"/>
  <c r="M87" i="47"/>
  <c r="C88" i="47"/>
  <c r="D88" i="47"/>
  <c r="E88" i="47"/>
  <c r="F88" i="47"/>
  <c r="G88" i="47"/>
  <c r="H88" i="47"/>
  <c r="I88" i="47"/>
  <c r="J88" i="47"/>
  <c r="K88" i="47"/>
  <c r="L88" i="47"/>
  <c r="M88" i="47"/>
  <c r="C89" i="47"/>
  <c r="D89" i="47"/>
  <c r="E89" i="47"/>
  <c r="F89" i="47"/>
  <c r="G89" i="47"/>
  <c r="H89" i="47"/>
  <c r="I89" i="47"/>
  <c r="J89" i="47"/>
  <c r="K89" i="47"/>
  <c r="L89" i="47"/>
  <c r="M89" i="47"/>
  <c r="C90" i="47"/>
  <c r="D90" i="47"/>
  <c r="E90" i="47"/>
  <c r="F90" i="47"/>
  <c r="G90" i="47"/>
  <c r="H90" i="47"/>
  <c r="I90" i="47"/>
  <c r="J90" i="47"/>
  <c r="K90" i="47"/>
  <c r="L90" i="47"/>
  <c r="M90" i="47"/>
  <c r="C91" i="47"/>
  <c r="D91" i="47"/>
  <c r="E91" i="47"/>
  <c r="F91" i="47"/>
  <c r="G91" i="47"/>
  <c r="H91" i="47"/>
  <c r="I91" i="47"/>
  <c r="J91" i="47"/>
  <c r="K91" i="47"/>
  <c r="L91" i="47"/>
  <c r="M91" i="47"/>
  <c r="C92" i="47"/>
  <c r="D92" i="47"/>
  <c r="E92" i="47"/>
  <c r="F92" i="47"/>
  <c r="G92" i="47"/>
  <c r="H92" i="47"/>
  <c r="I92" i="47"/>
  <c r="J92" i="47"/>
  <c r="K92" i="47"/>
  <c r="L92" i="47"/>
  <c r="M92" i="47"/>
  <c r="B92" i="47"/>
  <c r="B91" i="47"/>
  <c r="B90" i="47"/>
  <c r="B89" i="47"/>
  <c r="B88" i="47"/>
  <c r="B87" i="47"/>
  <c r="B86" i="47"/>
  <c r="B85" i="47"/>
  <c r="B84" i="47"/>
  <c r="B83" i="47"/>
  <c r="B82" i="47"/>
  <c r="B81" i="47"/>
  <c r="B80" i="47"/>
  <c r="B79" i="47"/>
  <c r="B78" i="47"/>
  <c r="B77" i="47"/>
  <c r="B76" i="47"/>
  <c r="B75" i="47"/>
  <c r="B74" i="47"/>
  <c r="B73" i="47"/>
  <c r="B72" i="47"/>
  <c r="B71" i="47"/>
  <c r="B70" i="47"/>
  <c r="B69" i="47"/>
  <c r="B68" i="47"/>
  <c r="B67" i="47"/>
  <c r="B66" i="47"/>
  <c r="B65" i="47"/>
  <c r="B64" i="47"/>
  <c r="B63" i="47"/>
  <c r="B62" i="47"/>
  <c r="B61" i="47"/>
  <c r="C61" i="31"/>
  <c r="D61" i="31"/>
  <c r="C62" i="31"/>
  <c r="D62" i="31"/>
  <c r="C63" i="31"/>
  <c r="D63" i="31"/>
  <c r="C64" i="31"/>
  <c r="D64" i="31"/>
  <c r="C65" i="31"/>
  <c r="D65" i="31"/>
  <c r="C66" i="31"/>
  <c r="D66" i="31"/>
  <c r="C67" i="31"/>
  <c r="D67" i="31"/>
  <c r="C68" i="31"/>
  <c r="D68" i="31"/>
  <c r="C69" i="31"/>
  <c r="D69" i="31"/>
  <c r="C70" i="31"/>
  <c r="D70" i="31"/>
  <c r="C71" i="31"/>
  <c r="D71" i="31"/>
  <c r="C72" i="31"/>
  <c r="D72" i="31"/>
  <c r="C73" i="31"/>
  <c r="D73" i="31"/>
  <c r="C74" i="31"/>
  <c r="D74" i="31"/>
  <c r="C75" i="31"/>
  <c r="D75" i="31"/>
  <c r="C76" i="31"/>
  <c r="D76" i="31"/>
  <c r="C77" i="31"/>
  <c r="D77" i="31"/>
  <c r="C78" i="31"/>
  <c r="D78" i="31"/>
  <c r="C79" i="31"/>
  <c r="D79" i="31"/>
  <c r="C80" i="31"/>
  <c r="D80" i="31"/>
  <c r="C81" i="31"/>
  <c r="D81" i="31"/>
  <c r="C82" i="31"/>
  <c r="D82" i="31"/>
  <c r="C83" i="31"/>
  <c r="D83" i="31"/>
  <c r="C84" i="31"/>
  <c r="D84" i="31"/>
  <c r="C85" i="31"/>
  <c r="D85" i="31"/>
  <c r="C86" i="31"/>
  <c r="D86" i="31"/>
  <c r="C87" i="31"/>
  <c r="D87" i="31"/>
  <c r="C88" i="31"/>
  <c r="D88" i="31"/>
  <c r="C89" i="31"/>
  <c r="D89" i="31"/>
  <c r="C90" i="31"/>
  <c r="D90" i="31"/>
  <c r="C91" i="31"/>
  <c r="D91" i="31"/>
  <c r="C92" i="31"/>
  <c r="D92" i="31"/>
  <c r="B92" i="31"/>
  <c r="B91" i="31"/>
  <c r="B90" i="31"/>
  <c r="B89" i="31"/>
  <c r="B88" i="31"/>
  <c r="B87" i="31"/>
  <c r="B86" i="31"/>
  <c r="B85" i="31"/>
  <c r="B84" i="31"/>
  <c r="B83" i="31"/>
  <c r="B82" i="31"/>
  <c r="B81" i="31"/>
  <c r="B80" i="31"/>
  <c r="B79" i="31"/>
  <c r="B78" i="31"/>
  <c r="B77" i="31"/>
  <c r="B76" i="31"/>
  <c r="B75" i="31"/>
  <c r="B74" i="31"/>
  <c r="B73" i="31"/>
  <c r="B72" i="31"/>
  <c r="B71" i="31"/>
  <c r="B70" i="31"/>
  <c r="B69" i="31"/>
  <c r="B68" i="31"/>
  <c r="B67" i="31"/>
  <c r="B66" i="31"/>
  <c r="B65" i="31"/>
  <c r="B64" i="31"/>
  <c r="B63" i="31"/>
  <c r="B62" i="31"/>
  <c r="B61" i="31"/>
  <c r="F61" i="27"/>
  <c r="G61" i="27"/>
  <c r="H61" i="27"/>
  <c r="I61" i="27"/>
  <c r="J61" i="27"/>
  <c r="K61" i="27"/>
  <c r="L61" i="27"/>
  <c r="M61" i="27"/>
  <c r="N61" i="27"/>
  <c r="F62" i="27"/>
  <c r="G62" i="27"/>
  <c r="H62" i="27"/>
  <c r="I62" i="27"/>
  <c r="J62" i="27"/>
  <c r="K62" i="27"/>
  <c r="L62" i="27"/>
  <c r="M62" i="27"/>
  <c r="N62" i="27"/>
  <c r="F63" i="27"/>
  <c r="G63" i="27"/>
  <c r="H63" i="27"/>
  <c r="I63" i="27"/>
  <c r="J63" i="27"/>
  <c r="K63" i="27"/>
  <c r="L63" i="27"/>
  <c r="M63" i="27"/>
  <c r="N63" i="27"/>
  <c r="F64" i="27"/>
  <c r="G64" i="27"/>
  <c r="H64" i="27"/>
  <c r="I64" i="27"/>
  <c r="J64" i="27"/>
  <c r="K64" i="27"/>
  <c r="L64" i="27"/>
  <c r="M64" i="27"/>
  <c r="N64" i="27"/>
  <c r="F65" i="27"/>
  <c r="G65" i="27"/>
  <c r="H65" i="27"/>
  <c r="I65" i="27"/>
  <c r="J65" i="27"/>
  <c r="K65" i="27"/>
  <c r="L65" i="27"/>
  <c r="M65" i="27"/>
  <c r="N65" i="27"/>
  <c r="F66" i="27"/>
  <c r="G66" i="27"/>
  <c r="H66" i="27"/>
  <c r="I66" i="27"/>
  <c r="J66" i="27"/>
  <c r="K66" i="27"/>
  <c r="L66" i="27"/>
  <c r="M66" i="27"/>
  <c r="N66" i="27"/>
  <c r="F67" i="27"/>
  <c r="G67" i="27"/>
  <c r="H67" i="27"/>
  <c r="I67" i="27"/>
  <c r="J67" i="27"/>
  <c r="K67" i="27"/>
  <c r="L67" i="27"/>
  <c r="M67" i="27"/>
  <c r="N67" i="27"/>
  <c r="F68" i="27"/>
  <c r="G68" i="27"/>
  <c r="H68" i="27"/>
  <c r="I68" i="27"/>
  <c r="J68" i="27"/>
  <c r="K68" i="27"/>
  <c r="L68" i="27"/>
  <c r="M68" i="27"/>
  <c r="N68" i="27"/>
  <c r="F69" i="27"/>
  <c r="G69" i="27"/>
  <c r="H69" i="27"/>
  <c r="I69" i="27"/>
  <c r="J69" i="27"/>
  <c r="K69" i="27"/>
  <c r="L69" i="27"/>
  <c r="M69" i="27"/>
  <c r="N69" i="27"/>
  <c r="F70" i="27"/>
  <c r="G70" i="27"/>
  <c r="H70" i="27"/>
  <c r="I70" i="27"/>
  <c r="J70" i="27"/>
  <c r="K70" i="27"/>
  <c r="L70" i="27"/>
  <c r="M70" i="27"/>
  <c r="N70" i="27"/>
  <c r="F71" i="27"/>
  <c r="G71" i="27"/>
  <c r="H71" i="27"/>
  <c r="I71" i="27"/>
  <c r="J71" i="27"/>
  <c r="K71" i="27"/>
  <c r="L71" i="27"/>
  <c r="M71" i="27"/>
  <c r="N71" i="27"/>
  <c r="F72" i="27"/>
  <c r="G72" i="27"/>
  <c r="H72" i="27"/>
  <c r="I72" i="27"/>
  <c r="J72" i="27"/>
  <c r="K72" i="27"/>
  <c r="L72" i="27"/>
  <c r="M72" i="27"/>
  <c r="N72" i="27"/>
  <c r="F73" i="27"/>
  <c r="G73" i="27"/>
  <c r="H73" i="27"/>
  <c r="I73" i="27"/>
  <c r="J73" i="27"/>
  <c r="K73" i="27"/>
  <c r="L73" i="27"/>
  <c r="M73" i="27"/>
  <c r="N73" i="27"/>
  <c r="F74" i="27"/>
  <c r="G74" i="27"/>
  <c r="H74" i="27"/>
  <c r="I74" i="27"/>
  <c r="J74" i="27"/>
  <c r="K74" i="27"/>
  <c r="L74" i="27"/>
  <c r="M74" i="27"/>
  <c r="N74" i="27"/>
  <c r="F75" i="27"/>
  <c r="G75" i="27"/>
  <c r="H75" i="27"/>
  <c r="I75" i="27"/>
  <c r="J75" i="27"/>
  <c r="K75" i="27"/>
  <c r="L75" i="27"/>
  <c r="M75" i="27"/>
  <c r="N75" i="27"/>
  <c r="F76" i="27"/>
  <c r="G76" i="27"/>
  <c r="H76" i="27"/>
  <c r="I76" i="27"/>
  <c r="J76" i="27"/>
  <c r="K76" i="27"/>
  <c r="L76" i="27"/>
  <c r="M76" i="27"/>
  <c r="N76" i="27"/>
  <c r="F77" i="27"/>
  <c r="G77" i="27"/>
  <c r="H77" i="27"/>
  <c r="I77" i="27"/>
  <c r="J77" i="27"/>
  <c r="K77" i="27"/>
  <c r="L77" i="27"/>
  <c r="M77" i="27"/>
  <c r="N77" i="27"/>
  <c r="F78" i="27"/>
  <c r="G78" i="27"/>
  <c r="H78" i="27"/>
  <c r="I78" i="27"/>
  <c r="J78" i="27"/>
  <c r="K78" i="27"/>
  <c r="L78" i="27"/>
  <c r="M78" i="27"/>
  <c r="N78" i="27"/>
  <c r="F79" i="27"/>
  <c r="G79" i="27"/>
  <c r="H79" i="27"/>
  <c r="I79" i="27"/>
  <c r="J79" i="27"/>
  <c r="K79" i="27"/>
  <c r="L79" i="27"/>
  <c r="M79" i="27"/>
  <c r="N79" i="27"/>
  <c r="F80" i="27"/>
  <c r="G80" i="27"/>
  <c r="H80" i="27"/>
  <c r="I80" i="27"/>
  <c r="J80" i="27"/>
  <c r="K80" i="27"/>
  <c r="L80" i="27"/>
  <c r="M80" i="27"/>
  <c r="N80" i="27"/>
  <c r="F81" i="27"/>
  <c r="G81" i="27"/>
  <c r="H81" i="27"/>
  <c r="I81" i="27"/>
  <c r="J81" i="27"/>
  <c r="K81" i="27"/>
  <c r="L81" i="27"/>
  <c r="M81" i="27"/>
  <c r="N81" i="27"/>
  <c r="F82" i="27"/>
  <c r="G82" i="27"/>
  <c r="H82" i="27"/>
  <c r="I82" i="27"/>
  <c r="J82" i="27"/>
  <c r="K82" i="27"/>
  <c r="L82" i="27"/>
  <c r="M82" i="27"/>
  <c r="N82" i="27"/>
  <c r="F83" i="27"/>
  <c r="G83" i="27"/>
  <c r="H83" i="27"/>
  <c r="I83" i="27"/>
  <c r="J83" i="27"/>
  <c r="K83" i="27"/>
  <c r="L83" i="27"/>
  <c r="M83" i="27"/>
  <c r="N83" i="27"/>
  <c r="F84" i="27"/>
  <c r="G84" i="27"/>
  <c r="H84" i="27"/>
  <c r="I84" i="27"/>
  <c r="J84" i="27"/>
  <c r="K84" i="27"/>
  <c r="L84" i="27"/>
  <c r="M84" i="27"/>
  <c r="N84" i="27"/>
  <c r="F85" i="27"/>
  <c r="G85" i="27"/>
  <c r="H85" i="27"/>
  <c r="I85" i="27"/>
  <c r="J85" i="27"/>
  <c r="K85" i="27"/>
  <c r="L85" i="27"/>
  <c r="M85" i="27"/>
  <c r="N85" i="27"/>
  <c r="F86" i="27"/>
  <c r="G86" i="27"/>
  <c r="H86" i="27"/>
  <c r="I86" i="27"/>
  <c r="J86" i="27"/>
  <c r="K86" i="27"/>
  <c r="L86" i="27"/>
  <c r="M86" i="27"/>
  <c r="N86" i="27"/>
  <c r="F87" i="27"/>
  <c r="G87" i="27"/>
  <c r="H87" i="27"/>
  <c r="I87" i="27"/>
  <c r="J87" i="27"/>
  <c r="K87" i="27"/>
  <c r="L87" i="27"/>
  <c r="M87" i="27"/>
  <c r="N87" i="27"/>
  <c r="F88" i="27"/>
  <c r="G88" i="27"/>
  <c r="H88" i="27"/>
  <c r="I88" i="27"/>
  <c r="J88" i="27"/>
  <c r="K88" i="27"/>
  <c r="L88" i="27"/>
  <c r="M88" i="27"/>
  <c r="N88" i="27"/>
  <c r="F89" i="27"/>
  <c r="G89" i="27"/>
  <c r="H89" i="27"/>
  <c r="I89" i="27"/>
  <c r="J89" i="27"/>
  <c r="K89" i="27"/>
  <c r="L89" i="27"/>
  <c r="M89" i="27"/>
  <c r="N89" i="27"/>
  <c r="F90" i="27"/>
  <c r="G90" i="27"/>
  <c r="H90" i="27"/>
  <c r="I90" i="27"/>
  <c r="J90" i="27"/>
  <c r="K90" i="27"/>
  <c r="L90" i="27"/>
  <c r="M90" i="27"/>
  <c r="N90" i="27"/>
  <c r="F91" i="27"/>
  <c r="G91" i="27"/>
  <c r="H91" i="27"/>
  <c r="I91" i="27"/>
  <c r="J91" i="27"/>
  <c r="K91" i="27"/>
  <c r="L91" i="27"/>
  <c r="M91" i="27"/>
  <c r="N91" i="27"/>
  <c r="F92" i="27"/>
  <c r="G92" i="27"/>
  <c r="H92" i="27"/>
  <c r="I92" i="27"/>
  <c r="J92" i="27"/>
  <c r="K92" i="27"/>
  <c r="L92" i="27"/>
  <c r="M92" i="27"/>
  <c r="N92" i="27"/>
  <c r="E92" i="27"/>
  <c r="D92" i="27"/>
  <c r="C92" i="27"/>
  <c r="B92" i="27"/>
  <c r="E91" i="27"/>
  <c r="D91" i="27"/>
  <c r="C91" i="27"/>
  <c r="B91" i="27"/>
  <c r="E90" i="27"/>
  <c r="D90" i="27"/>
  <c r="C90" i="27"/>
  <c r="B90" i="27"/>
  <c r="E89" i="27"/>
  <c r="D89" i="27"/>
  <c r="C89" i="27"/>
  <c r="B89" i="27"/>
  <c r="E88" i="27"/>
  <c r="D88" i="27"/>
  <c r="C88" i="27"/>
  <c r="B88" i="27"/>
  <c r="E87" i="27"/>
  <c r="D87" i="27"/>
  <c r="C87" i="27"/>
  <c r="B87" i="27"/>
  <c r="E86" i="27"/>
  <c r="D86" i="27"/>
  <c r="C86" i="27"/>
  <c r="B86" i="27"/>
  <c r="E85" i="27"/>
  <c r="D85" i="27"/>
  <c r="C85" i="27"/>
  <c r="B85" i="27"/>
  <c r="E84" i="27"/>
  <c r="D84" i="27"/>
  <c r="C84" i="27"/>
  <c r="B84" i="27"/>
  <c r="E83" i="27"/>
  <c r="D83" i="27"/>
  <c r="C83" i="27"/>
  <c r="B83" i="27"/>
  <c r="E82" i="27"/>
  <c r="D82" i="27"/>
  <c r="C82" i="27"/>
  <c r="B82" i="27"/>
  <c r="E81" i="27"/>
  <c r="D81" i="27"/>
  <c r="C81" i="27"/>
  <c r="B81" i="27"/>
  <c r="E80" i="27"/>
  <c r="D80" i="27"/>
  <c r="C80" i="27"/>
  <c r="B80" i="27"/>
  <c r="E79" i="27"/>
  <c r="D79" i="27"/>
  <c r="C79" i="27"/>
  <c r="B79" i="27"/>
  <c r="E78" i="27"/>
  <c r="D78" i="27"/>
  <c r="C78" i="27"/>
  <c r="B78" i="27"/>
  <c r="E77" i="27"/>
  <c r="D77" i="27"/>
  <c r="C77" i="27"/>
  <c r="B77" i="27"/>
  <c r="E76" i="27"/>
  <c r="D76" i="27"/>
  <c r="C76" i="27"/>
  <c r="B76" i="27"/>
  <c r="E75" i="27"/>
  <c r="D75" i="27"/>
  <c r="C75" i="27"/>
  <c r="B75" i="27"/>
  <c r="E74" i="27"/>
  <c r="D74" i="27"/>
  <c r="C74" i="27"/>
  <c r="B74" i="27"/>
  <c r="E73" i="27"/>
  <c r="D73" i="27"/>
  <c r="C73" i="27"/>
  <c r="B73" i="27"/>
  <c r="E72" i="27"/>
  <c r="D72" i="27"/>
  <c r="C72" i="27"/>
  <c r="B72" i="27"/>
  <c r="E71" i="27"/>
  <c r="D71" i="27"/>
  <c r="C71" i="27"/>
  <c r="B71" i="27"/>
  <c r="E70" i="27"/>
  <c r="D70" i="27"/>
  <c r="C70" i="27"/>
  <c r="B70" i="27"/>
  <c r="E69" i="27"/>
  <c r="D69" i="27"/>
  <c r="C69" i="27"/>
  <c r="B69" i="27"/>
  <c r="E68" i="27"/>
  <c r="D68" i="27"/>
  <c r="C68" i="27"/>
  <c r="B68" i="27"/>
  <c r="E67" i="27"/>
  <c r="D67" i="27"/>
  <c r="C67" i="27"/>
  <c r="B67" i="27"/>
  <c r="E66" i="27"/>
  <c r="D66" i="27"/>
  <c r="C66" i="27"/>
  <c r="B66" i="27"/>
  <c r="E65" i="27"/>
  <c r="D65" i="27"/>
  <c r="C65" i="27"/>
  <c r="B65" i="27"/>
  <c r="E64" i="27"/>
  <c r="D64" i="27"/>
  <c r="C64" i="27"/>
  <c r="B64" i="27"/>
  <c r="E63" i="27"/>
  <c r="D63" i="27"/>
  <c r="C63" i="27"/>
  <c r="B63" i="27"/>
  <c r="E62" i="27"/>
  <c r="D62" i="27"/>
  <c r="C62" i="27"/>
  <c r="B62" i="27"/>
  <c r="E61" i="27"/>
  <c r="D61" i="27"/>
  <c r="C61" i="27"/>
  <c r="B61" i="27"/>
  <c r="C78" i="28"/>
  <c r="D78" i="28"/>
  <c r="E78" i="28"/>
  <c r="B78" i="28"/>
  <c r="C63" i="28"/>
  <c r="D63" i="28"/>
  <c r="E63" i="28"/>
  <c r="C64" i="28"/>
  <c r="D64" i="28"/>
  <c r="E64" i="28"/>
  <c r="C65" i="28"/>
  <c r="D65" i="28"/>
  <c r="E65" i="28"/>
  <c r="C66" i="28"/>
  <c r="D66" i="28"/>
  <c r="E66" i="28"/>
  <c r="C67" i="28"/>
  <c r="D67" i="28"/>
  <c r="E67" i="28"/>
  <c r="C68" i="28"/>
  <c r="D68" i="28"/>
  <c r="E68" i="28"/>
  <c r="C69" i="28"/>
  <c r="D69" i="28"/>
  <c r="E69" i="28"/>
  <c r="C70" i="28"/>
  <c r="D70" i="28"/>
  <c r="E70" i="28"/>
  <c r="C71" i="28"/>
  <c r="D71" i="28"/>
  <c r="E71" i="28"/>
  <c r="C72" i="28"/>
  <c r="D72" i="28"/>
  <c r="E72" i="28"/>
  <c r="C73" i="28"/>
  <c r="D73" i="28"/>
  <c r="E73" i="28"/>
  <c r="C74" i="28"/>
  <c r="D74" i="28"/>
  <c r="E74" i="28"/>
  <c r="C75" i="28"/>
  <c r="D75" i="28"/>
  <c r="E75" i="28"/>
  <c r="C76" i="28"/>
  <c r="D76" i="28"/>
  <c r="E76" i="28"/>
  <c r="C77" i="28"/>
  <c r="D77" i="28"/>
  <c r="E77" i="28"/>
  <c r="C79" i="28"/>
  <c r="D79" i="28"/>
  <c r="E79" i="28"/>
  <c r="C80" i="28"/>
  <c r="D80" i="28"/>
  <c r="E80" i="28"/>
  <c r="C81" i="28"/>
  <c r="D81" i="28"/>
  <c r="E81" i="28"/>
  <c r="C82" i="28"/>
  <c r="D82" i="28"/>
  <c r="E82" i="28"/>
  <c r="C83" i="28"/>
  <c r="D83" i="28"/>
  <c r="E83" i="28"/>
  <c r="C84" i="28"/>
  <c r="D84" i="28"/>
  <c r="E84" i="28"/>
  <c r="C85" i="28"/>
  <c r="D85" i="28"/>
  <c r="E85" i="28"/>
  <c r="C86" i="28"/>
  <c r="D86" i="28"/>
  <c r="E86" i="28"/>
  <c r="C87" i="28"/>
  <c r="D87" i="28"/>
  <c r="E87" i="28"/>
  <c r="C88" i="28"/>
  <c r="D88" i="28"/>
  <c r="E88" i="28"/>
  <c r="C89" i="28"/>
  <c r="D89" i="28"/>
  <c r="E89" i="28"/>
  <c r="C90" i="28"/>
  <c r="D90" i="28"/>
  <c r="E90" i="28"/>
  <c r="C91" i="28"/>
  <c r="D91" i="28"/>
  <c r="E91" i="28"/>
  <c r="C92" i="28"/>
  <c r="D92" i="28"/>
  <c r="E92" i="28"/>
  <c r="B64" i="28"/>
  <c r="B65" i="28"/>
  <c r="B66" i="28"/>
  <c r="B67" i="28"/>
  <c r="B68" i="28"/>
  <c r="B69" i="28"/>
  <c r="B70" i="28"/>
  <c r="B71" i="28"/>
  <c r="B72" i="28"/>
  <c r="B73" i="28"/>
  <c r="B74" i="28"/>
  <c r="B75" i="28"/>
  <c r="B76" i="28"/>
  <c r="B77" i="28"/>
  <c r="B79" i="28"/>
  <c r="B80" i="28"/>
  <c r="B81" i="28"/>
  <c r="B82" i="28"/>
  <c r="B83" i="28"/>
  <c r="B84" i="28"/>
  <c r="B85" i="28"/>
  <c r="B86" i="28"/>
  <c r="B87" i="28"/>
  <c r="B88" i="28"/>
  <c r="B89" i="28"/>
  <c r="B90" i="28"/>
  <c r="B91" i="28"/>
  <c r="B92" i="28"/>
  <c r="A62" i="27"/>
  <c r="A63" i="27"/>
  <c r="A64" i="27"/>
  <c r="A65" i="27"/>
  <c r="A66" i="27"/>
  <c r="A67" i="27"/>
  <c r="A68" i="27"/>
  <c r="A69" i="27"/>
  <c r="A70" i="27"/>
  <c r="A71" i="27"/>
  <c r="A72" i="27"/>
  <c r="A73" i="27"/>
  <c r="A74" i="27"/>
  <c r="A75" i="27"/>
  <c r="A76" i="27"/>
  <c r="A77" i="27"/>
  <c r="A78" i="27"/>
  <c r="A79" i="27"/>
  <c r="A80" i="27"/>
  <c r="A81" i="27"/>
  <c r="A82" i="27"/>
  <c r="A83" i="27"/>
  <c r="A84" i="27"/>
  <c r="A85" i="27"/>
  <c r="A86" i="27"/>
  <c r="A87" i="27"/>
  <c r="A88" i="27"/>
  <c r="A89" i="27"/>
  <c r="A90" i="27"/>
  <c r="A91" i="27"/>
  <c r="A92" i="27"/>
  <c r="A61" i="27"/>
  <c r="B63"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61" i="28"/>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61" i="31"/>
  <c r="A62" i="47"/>
  <c r="A63" i="47"/>
  <c r="A64" i="47"/>
  <c r="A65" i="47"/>
  <c r="A66" i="47"/>
  <c r="A67" i="47"/>
  <c r="A68" i="47"/>
  <c r="A69" i="47"/>
  <c r="A70" i="47"/>
  <c r="A71" i="47"/>
  <c r="A72" i="47"/>
  <c r="A73" i="47"/>
  <c r="A74" i="47"/>
  <c r="A75" i="47"/>
  <c r="A76" i="47"/>
  <c r="A77" i="47"/>
  <c r="A78" i="47"/>
  <c r="A79" i="47"/>
  <c r="A80" i="47"/>
  <c r="A81" i="47"/>
  <c r="A82" i="47"/>
  <c r="A83" i="47"/>
  <c r="A84" i="47"/>
  <c r="A85" i="47"/>
  <c r="A86" i="47"/>
  <c r="A87" i="47"/>
  <c r="A88" i="47"/>
  <c r="A89" i="47"/>
  <c r="A90" i="47"/>
  <c r="A91" i="47"/>
  <c r="A92" i="47"/>
  <c r="A61" i="47"/>
  <c r="A92" i="46"/>
  <c r="A62" i="46"/>
  <c r="A63" i="46"/>
  <c r="A64" i="46"/>
  <c r="A65" i="46"/>
  <c r="A66" i="46"/>
  <c r="A67" i="46"/>
  <c r="A68" i="46"/>
  <c r="A69" i="46"/>
  <c r="A70" i="46"/>
  <c r="A71" i="46"/>
  <c r="A72" i="46"/>
  <c r="A73" i="46"/>
  <c r="A74" i="46"/>
  <c r="A75" i="46"/>
  <c r="A76" i="46"/>
  <c r="A77" i="46"/>
  <c r="A78" i="46"/>
  <c r="A79" i="46"/>
  <c r="A80" i="46"/>
  <c r="A81" i="46"/>
  <c r="A82" i="46"/>
  <c r="A83" i="46"/>
  <c r="A84" i="46"/>
  <c r="A85" i="46"/>
  <c r="A86" i="46"/>
  <c r="A87" i="46"/>
  <c r="A88" i="46"/>
  <c r="A89" i="46"/>
  <c r="A90" i="46"/>
  <c r="A91" i="46"/>
  <c r="A61" i="46"/>
  <c r="A62" i="30"/>
  <c r="A63" i="30"/>
  <c r="A64" i="30"/>
  <c r="A65" i="30"/>
  <c r="A66" i="30"/>
  <c r="A67" i="30"/>
  <c r="A68" i="30"/>
  <c r="A69" i="30"/>
  <c r="A70" i="30"/>
  <c r="A71" i="30"/>
  <c r="A72" i="30"/>
  <c r="A73" i="30"/>
  <c r="A74" i="30"/>
  <c r="A75" i="30"/>
  <c r="A76" i="30"/>
  <c r="A77" i="30"/>
  <c r="A78" i="30"/>
  <c r="A79" i="30"/>
  <c r="A80" i="30"/>
  <c r="A81" i="30"/>
  <c r="A82" i="30"/>
  <c r="A83" i="30"/>
  <c r="A84" i="30"/>
  <c r="A85" i="30"/>
  <c r="A86" i="30"/>
  <c r="A87" i="30"/>
  <c r="A88" i="30"/>
  <c r="A89" i="30"/>
  <c r="A90" i="30"/>
  <c r="A91" i="30"/>
  <c r="A92" i="30"/>
  <c r="A61" i="30"/>
  <c r="L42" i="51" l="1"/>
  <c r="L46" i="51"/>
  <c r="L47" i="51"/>
  <c r="L39" i="51"/>
  <c r="L48" i="51"/>
  <c r="L45" i="51"/>
  <c r="L44" i="51"/>
  <c r="L43" i="51"/>
  <c r="L41" i="51"/>
  <c r="L40" i="51"/>
  <c r="L34" i="51"/>
  <c r="L37" i="51" s="1"/>
  <c r="AA30" i="50"/>
  <c r="K51" i="51"/>
  <c r="N48" i="51"/>
  <c r="N40" i="51"/>
  <c r="N44" i="51"/>
  <c r="N45" i="51"/>
  <c r="N42" i="51"/>
  <c r="N41" i="51"/>
  <c r="N39" i="51"/>
  <c r="N46" i="51"/>
  <c r="N43" i="51"/>
  <c r="N47" i="51"/>
  <c r="N34" i="51"/>
  <c r="N37" i="51" s="1"/>
  <c r="V40" i="50"/>
  <c r="V44" i="50"/>
  <c r="V45" i="50"/>
  <c r="V47" i="50"/>
  <c r="V39" i="50"/>
  <c r="V48" i="50"/>
  <c r="V41" i="50"/>
  <c r="V42" i="50"/>
  <c r="V43" i="50"/>
  <c r="V46" i="50"/>
  <c r="V34" i="50"/>
  <c r="V37" i="50" s="1"/>
  <c r="AA53" i="50"/>
  <c r="M53" i="51"/>
  <c r="K57" i="50"/>
  <c r="R24" i="50"/>
  <c r="I55" i="50"/>
  <c r="D57" i="51"/>
  <c r="F51" i="50"/>
  <c r="I57" i="50"/>
  <c r="Y57" i="50"/>
  <c r="V24" i="50"/>
  <c r="Y51" i="50"/>
  <c r="S53" i="50"/>
  <c r="I57" i="51"/>
  <c r="M57" i="50"/>
  <c r="AC57" i="50"/>
  <c r="G55" i="51"/>
  <c r="K51" i="50"/>
  <c r="AA51" i="50"/>
  <c r="K55" i="50"/>
  <c r="AA55" i="50"/>
  <c r="K55" i="51"/>
  <c r="F51" i="51"/>
  <c r="L55" i="51"/>
  <c r="S57" i="50"/>
  <c r="G51" i="51"/>
  <c r="J53" i="51"/>
  <c r="F59" i="51"/>
  <c r="K53" i="51"/>
  <c r="B57" i="51"/>
  <c r="L51" i="51"/>
  <c r="E57" i="51"/>
  <c r="C55" i="51"/>
  <c r="D55" i="51"/>
  <c r="E55" i="51"/>
  <c r="D36" i="51"/>
  <c r="D53" i="51"/>
  <c r="D30" i="51"/>
  <c r="E36" i="51"/>
  <c r="E53" i="51"/>
  <c r="H55" i="51"/>
  <c r="F30" i="51"/>
  <c r="F36" i="51"/>
  <c r="D51" i="51"/>
  <c r="J55" i="51"/>
  <c r="R23" i="50"/>
  <c r="J51" i="50"/>
  <c r="Z51" i="50"/>
  <c r="T53" i="50"/>
  <c r="J57" i="50"/>
  <c r="AC23" i="50"/>
  <c r="AA57" i="50"/>
  <c r="AB51" i="50"/>
  <c r="D59" i="50"/>
  <c r="AC55" i="50"/>
  <c r="Q57" i="50"/>
  <c r="L53" i="50"/>
  <c r="AB53" i="50"/>
  <c r="Q55" i="50"/>
  <c r="N23" i="50"/>
  <c r="Z30" i="50"/>
  <c r="B149" i="50"/>
  <c r="B150" i="50" s="1"/>
  <c r="B157" i="50" s="1"/>
  <c r="R36" i="50"/>
  <c r="E51" i="50"/>
  <c r="N53" i="50"/>
  <c r="C53" i="50"/>
  <c r="G57" i="50"/>
  <c r="W57" i="50"/>
  <c r="T57" i="50"/>
  <c r="S23" i="50"/>
  <c r="W36" i="50"/>
  <c r="P53" i="50"/>
  <c r="K53" i="50"/>
  <c r="Z57" i="50"/>
  <c r="Y23" i="50"/>
  <c r="W24" i="50"/>
  <c r="X51" i="50"/>
  <c r="Q53" i="50"/>
  <c r="N55" i="50"/>
  <c r="C55" i="50"/>
  <c r="L57" i="50"/>
  <c r="AB57" i="50"/>
  <c r="L59" i="50"/>
  <c r="O53" i="50"/>
  <c r="O55" i="50"/>
  <c r="D55" i="50"/>
  <c r="L51" i="50"/>
  <c r="U53" i="50"/>
  <c r="P55" i="50"/>
  <c r="N57" i="50"/>
  <c r="B57" i="50"/>
  <c r="T59" i="50"/>
  <c r="V53" i="50"/>
  <c r="L55" i="50"/>
  <c r="O57" i="50"/>
  <c r="C57" i="50"/>
  <c r="AB59" i="50"/>
  <c r="W53" i="50"/>
  <c r="B55" i="50"/>
  <c r="P57" i="50"/>
  <c r="D57" i="50"/>
  <c r="AC59" i="50"/>
  <c r="H53" i="50"/>
  <c r="X53" i="50"/>
  <c r="AB55" i="50"/>
  <c r="Y55" i="50"/>
  <c r="I53" i="50"/>
  <c r="Y53" i="50"/>
  <c r="C169" i="50"/>
  <c r="B23" i="50"/>
  <c r="B36" i="50"/>
  <c r="Q51" i="50"/>
  <c r="C23" i="50"/>
  <c r="M24" i="50"/>
  <c r="F36" i="50"/>
  <c r="C163" i="50"/>
  <c r="I23" i="50"/>
  <c r="G36" i="50"/>
  <c r="C51" i="50"/>
  <c r="G55" i="50"/>
  <c r="E57" i="50"/>
  <c r="U57" i="50"/>
  <c r="R57" i="50"/>
  <c r="M23" i="50"/>
  <c r="Q36" i="50"/>
  <c r="D51" i="50"/>
  <c r="M53" i="50"/>
  <c r="B53" i="50"/>
  <c r="H55" i="50"/>
  <c r="X55" i="50"/>
  <c r="F57" i="50"/>
  <c r="V57" i="50"/>
  <c r="E23" i="51"/>
  <c r="I53" i="51"/>
  <c r="I55" i="51"/>
  <c r="F57" i="51"/>
  <c r="L59" i="51"/>
  <c r="F23" i="51"/>
  <c r="G57" i="51"/>
  <c r="I23" i="51"/>
  <c r="H57" i="51"/>
  <c r="D23" i="51"/>
  <c r="J23" i="51"/>
  <c r="L53" i="51"/>
  <c r="K23" i="51"/>
  <c r="L23" i="51"/>
  <c r="M51" i="51"/>
  <c r="M23" i="51"/>
  <c r="N23" i="51"/>
  <c r="F53" i="51"/>
  <c r="M57" i="51"/>
  <c r="N51" i="51"/>
  <c r="N57" i="51"/>
  <c r="B165" i="51"/>
  <c r="B166" i="51" s="1"/>
  <c r="B55" i="51"/>
  <c r="F55" i="51"/>
  <c r="C23" i="51"/>
  <c r="C163" i="51"/>
  <c r="C53" i="51"/>
  <c r="G24" i="51"/>
  <c r="B149" i="51"/>
  <c r="B150" i="51" s="1"/>
  <c r="B152" i="51" s="1"/>
  <c r="M36" i="51"/>
  <c r="C51" i="51"/>
  <c r="C169" i="51"/>
  <c r="L57" i="51"/>
  <c r="B23" i="51"/>
  <c r="M30" i="51"/>
  <c r="E51" i="51"/>
  <c r="C59" i="51"/>
  <c r="M21" i="51"/>
  <c r="L21" i="51"/>
  <c r="K21" i="51"/>
  <c r="J21" i="51"/>
  <c r="I21" i="51"/>
  <c r="H21" i="51"/>
  <c r="G21" i="51"/>
  <c r="F21" i="51"/>
  <c r="D21" i="51"/>
  <c r="C21" i="51"/>
  <c r="B21" i="51"/>
  <c r="E21" i="51"/>
  <c r="N21" i="51"/>
  <c r="N99" i="51"/>
  <c r="F103" i="51"/>
  <c r="M99" i="51"/>
  <c r="E103" i="51"/>
  <c r="L99" i="51"/>
  <c r="F99" i="51"/>
  <c r="D103" i="51"/>
  <c r="K99" i="51"/>
  <c r="J99" i="51"/>
  <c r="I99" i="51"/>
  <c r="B106" i="51"/>
  <c r="H99" i="51"/>
  <c r="G99" i="51"/>
  <c r="N103" i="51"/>
  <c r="E99" i="51"/>
  <c r="M103" i="51"/>
  <c r="D99" i="51"/>
  <c r="L103" i="51"/>
  <c r="C99" i="51"/>
  <c r="K103" i="51"/>
  <c r="B99" i="51"/>
  <c r="J103" i="51"/>
  <c r="E103" i="50"/>
  <c r="Y99" i="50"/>
  <c r="I99" i="50"/>
  <c r="D103" i="50"/>
  <c r="X99" i="50"/>
  <c r="H99" i="50"/>
  <c r="C103" i="50"/>
  <c r="W99" i="50"/>
  <c r="G99" i="50"/>
  <c r="AC103" i="50"/>
  <c r="AC18" i="50" s="1"/>
  <c r="B103" i="50"/>
  <c r="V99" i="50"/>
  <c r="F99" i="50"/>
  <c r="R99" i="50"/>
  <c r="Q103" i="50"/>
  <c r="U99" i="50"/>
  <c r="E99" i="50"/>
  <c r="N103" i="50"/>
  <c r="B106" i="50"/>
  <c r="P103" i="50"/>
  <c r="T99" i="50"/>
  <c r="D99" i="50"/>
  <c r="B99" i="50"/>
  <c r="O103" i="50"/>
  <c r="S99" i="50"/>
  <c r="C99" i="50"/>
  <c r="AB103" i="50"/>
  <c r="L103" i="50"/>
  <c r="P99" i="50"/>
  <c r="Q99" i="50"/>
  <c r="AA103" i="50"/>
  <c r="K103" i="50"/>
  <c r="O99" i="50"/>
  <c r="Z103" i="50"/>
  <c r="J103" i="50"/>
  <c r="N99" i="50"/>
  <c r="Y103" i="50"/>
  <c r="I103" i="50"/>
  <c r="AC99" i="50"/>
  <c r="M99" i="50"/>
  <c r="X103" i="50"/>
  <c r="H103" i="50"/>
  <c r="AB99" i="50"/>
  <c r="L99" i="50"/>
  <c r="G103" i="50"/>
  <c r="AA99" i="50"/>
  <c r="K99" i="50"/>
  <c r="F103" i="50"/>
  <c r="Z99" i="50"/>
  <c r="J99" i="50"/>
  <c r="M103" i="50"/>
  <c r="R21" i="50"/>
  <c r="B21" i="50"/>
  <c r="Q21" i="50"/>
  <c r="J21" i="50"/>
  <c r="P21" i="50"/>
  <c r="O21" i="50"/>
  <c r="N21" i="50"/>
  <c r="K21" i="50"/>
  <c r="AC21" i="50"/>
  <c r="M21" i="50"/>
  <c r="AA21" i="50"/>
  <c r="AB21" i="50"/>
  <c r="L21" i="50"/>
  <c r="Y21" i="50"/>
  <c r="I21" i="50"/>
  <c r="X21" i="50"/>
  <c r="H21" i="50"/>
  <c r="W21" i="50"/>
  <c r="G21" i="50"/>
  <c r="V21" i="50"/>
  <c r="F21" i="50"/>
  <c r="Z21" i="50"/>
  <c r="U21" i="50"/>
  <c r="E21" i="50"/>
  <c r="T21" i="50"/>
  <c r="D21" i="50"/>
  <c r="S21" i="50"/>
  <c r="C21" i="50"/>
  <c r="O51" i="50"/>
  <c r="K23" i="50"/>
  <c r="AA23" i="50"/>
  <c r="C30" i="50"/>
  <c r="O36" i="50"/>
  <c r="G51" i="50"/>
  <c r="AC51" i="50"/>
  <c r="Z55" i="50"/>
  <c r="F59" i="50"/>
  <c r="V59" i="50"/>
  <c r="B165" i="50"/>
  <c r="B166" i="50" s="1"/>
  <c r="L23" i="50"/>
  <c r="AB23" i="50"/>
  <c r="P24" i="50"/>
  <c r="D30" i="50"/>
  <c r="P36" i="50"/>
  <c r="H51" i="50"/>
  <c r="AC53" i="50"/>
  <c r="E55" i="50"/>
  <c r="G59" i="50"/>
  <c r="W59" i="50"/>
  <c r="H24" i="51"/>
  <c r="G53" i="51"/>
  <c r="M55" i="51"/>
  <c r="C57" i="51"/>
  <c r="N51" i="50"/>
  <c r="E30" i="50"/>
  <c r="I51" i="50"/>
  <c r="F55" i="50"/>
  <c r="H59" i="50"/>
  <c r="X59" i="50"/>
  <c r="I24" i="51"/>
  <c r="B51" i="51"/>
  <c r="H53" i="51"/>
  <c r="N55" i="51"/>
  <c r="G59" i="51"/>
  <c r="F30" i="50"/>
  <c r="I59" i="50"/>
  <c r="Y59" i="50"/>
  <c r="G23" i="51"/>
  <c r="B36" i="51"/>
  <c r="H59" i="51"/>
  <c r="B167" i="51"/>
  <c r="B168" i="51" s="1"/>
  <c r="O23" i="50"/>
  <c r="S24" i="50"/>
  <c r="G30" i="50"/>
  <c r="C36" i="50"/>
  <c r="S36" i="50"/>
  <c r="J59" i="50"/>
  <c r="Z59" i="50"/>
  <c r="B167" i="50"/>
  <c r="B168" i="50" s="1"/>
  <c r="J30" i="51"/>
  <c r="C36" i="51"/>
  <c r="I59" i="51"/>
  <c r="C167" i="51"/>
  <c r="P23" i="50"/>
  <c r="T24" i="50"/>
  <c r="H30" i="50"/>
  <c r="X30" i="50"/>
  <c r="D36" i="50"/>
  <c r="T36" i="50"/>
  <c r="K59" i="50"/>
  <c r="AA59" i="50"/>
  <c r="C167" i="50"/>
  <c r="K30" i="51"/>
  <c r="J59" i="51"/>
  <c r="N59" i="50"/>
  <c r="Q23" i="50"/>
  <c r="U24" i="50"/>
  <c r="I30" i="50"/>
  <c r="Y30" i="50"/>
  <c r="E36" i="50"/>
  <c r="U36" i="50"/>
  <c r="M51" i="50"/>
  <c r="J55" i="50"/>
  <c r="H57" i="50"/>
  <c r="X57" i="50"/>
  <c r="L30" i="51"/>
  <c r="K59" i="51"/>
  <c r="N30" i="51"/>
  <c r="G36" i="51"/>
  <c r="H51" i="51"/>
  <c r="N53" i="51"/>
  <c r="J57" i="51"/>
  <c r="M59" i="51"/>
  <c r="D23" i="50"/>
  <c r="T23" i="50"/>
  <c r="AB30" i="50"/>
  <c r="H36" i="50"/>
  <c r="X36" i="50"/>
  <c r="P51" i="50"/>
  <c r="E53" i="50"/>
  <c r="M55" i="50"/>
  <c r="O59" i="50"/>
  <c r="H36" i="51"/>
  <c r="I51" i="51"/>
  <c r="K57" i="51"/>
  <c r="N59" i="51"/>
  <c r="B163" i="51"/>
  <c r="B164" i="51" s="1"/>
  <c r="B169" i="51"/>
  <c r="B170" i="51" s="1"/>
  <c r="E23" i="50"/>
  <c r="U23" i="50"/>
  <c r="I36" i="50"/>
  <c r="Y36" i="50"/>
  <c r="F53" i="50"/>
  <c r="P59" i="50"/>
  <c r="B163" i="50"/>
  <c r="B164" i="50" s="1"/>
  <c r="B169" i="50"/>
  <c r="B170" i="50" s="1"/>
  <c r="I36" i="51"/>
  <c r="J51" i="51"/>
  <c r="F23" i="50"/>
  <c r="V23" i="50"/>
  <c r="J24" i="50"/>
  <c r="N30" i="50"/>
  <c r="J36" i="50"/>
  <c r="Z36" i="50"/>
  <c r="B51" i="50"/>
  <c r="G53" i="50"/>
  <c r="B24" i="51"/>
  <c r="J36" i="51"/>
  <c r="G23" i="50"/>
  <c r="W23" i="50"/>
  <c r="K24" i="50"/>
  <c r="O30" i="50"/>
  <c r="K36" i="50"/>
  <c r="AA36" i="50"/>
  <c r="K36" i="51"/>
  <c r="B53" i="51"/>
  <c r="H23" i="50"/>
  <c r="X23" i="50"/>
  <c r="L36" i="50"/>
  <c r="AB36" i="50"/>
  <c r="Q30" i="50"/>
  <c r="M36" i="50"/>
  <c r="AC36" i="50"/>
  <c r="J53" i="50"/>
  <c r="Z53" i="50"/>
  <c r="J23" i="50"/>
  <c r="N36" i="50"/>
  <c r="C12" i="19"/>
  <c r="C11" i="19"/>
  <c r="C10" i="19"/>
  <c r="C9" i="19"/>
  <c r="C8" i="19"/>
  <c r="C7" i="19"/>
  <c r="C6" i="19"/>
  <c r="C5" i="19"/>
  <c r="D18" i="19"/>
  <c r="E18" i="19" s="1"/>
  <c r="D16" i="19"/>
  <c r="E16" i="19" s="1"/>
  <c r="A16" i="19"/>
  <c r="A18" i="19"/>
  <c r="D11" i="19"/>
  <c r="D12" i="19"/>
  <c r="E12" i="19" s="1"/>
  <c r="A12" i="19"/>
  <c r="A11" i="19"/>
  <c r="D7" i="19"/>
  <c r="D9" i="19"/>
  <c r="D8" i="19"/>
  <c r="D6" i="19"/>
  <c r="D5" i="19"/>
  <c r="AB42" i="50" l="1"/>
  <c r="AB43" i="50"/>
  <c r="AB39" i="50"/>
  <c r="AB40" i="50"/>
  <c r="AB41" i="50"/>
  <c r="AB44" i="50"/>
  <c r="AB46" i="50"/>
  <c r="AB45" i="50"/>
  <c r="AB48" i="50"/>
  <c r="AB47" i="50"/>
  <c r="AB34" i="50"/>
  <c r="AB37" i="50" s="1"/>
  <c r="N40" i="50"/>
  <c r="N44" i="50"/>
  <c r="N45" i="50"/>
  <c r="N41" i="50"/>
  <c r="N47" i="50"/>
  <c r="N48" i="50"/>
  <c r="N42" i="50"/>
  <c r="N43" i="50"/>
  <c r="N46" i="50"/>
  <c r="N39" i="50"/>
  <c r="N34" i="50"/>
  <c r="N37" i="50" s="1"/>
  <c r="G45" i="50"/>
  <c r="G41" i="50"/>
  <c r="G42" i="50"/>
  <c r="G46" i="50"/>
  <c r="G48" i="50"/>
  <c r="G47" i="50"/>
  <c r="G39" i="50"/>
  <c r="G40" i="50"/>
  <c r="G43" i="50"/>
  <c r="G44" i="50"/>
  <c r="G34" i="50"/>
  <c r="G37" i="50" s="1"/>
  <c r="X42" i="50"/>
  <c r="X39" i="50"/>
  <c r="X46" i="50"/>
  <c r="X43" i="50"/>
  <c r="X40" i="50"/>
  <c r="X48" i="50"/>
  <c r="X47" i="50"/>
  <c r="X41" i="50"/>
  <c r="X44" i="50"/>
  <c r="X45" i="50"/>
  <c r="X34" i="50"/>
  <c r="X37" i="50" s="1"/>
  <c r="Q39" i="50"/>
  <c r="Q43" i="50"/>
  <c r="Q44" i="50"/>
  <c r="Q46" i="50"/>
  <c r="Q47" i="50"/>
  <c r="Q40" i="50"/>
  <c r="Q41" i="50"/>
  <c r="Q42" i="50"/>
  <c r="Q45" i="50"/>
  <c r="Q48" i="50"/>
  <c r="Q34" i="50"/>
  <c r="Q37" i="50" s="1"/>
  <c r="D46" i="50"/>
  <c r="D42" i="50"/>
  <c r="D43" i="50"/>
  <c r="D39" i="50"/>
  <c r="D44" i="50"/>
  <c r="D48" i="50"/>
  <c r="D47" i="50"/>
  <c r="D40" i="50"/>
  <c r="D41" i="50"/>
  <c r="D45" i="50"/>
  <c r="D34" i="50"/>
  <c r="D37" i="50" s="1"/>
  <c r="B44" i="51"/>
  <c r="B48" i="51"/>
  <c r="B40" i="51"/>
  <c r="B41" i="51"/>
  <c r="B46" i="51"/>
  <c r="B39" i="51"/>
  <c r="C152" i="51" s="1"/>
  <c r="B43" i="51"/>
  <c r="B45" i="51"/>
  <c r="B47" i="51"/>
  <c r="B42" i="51"/>
  <c r="B34" i="51"/>
  <c r="B37" i="51" s="1"/>
  <c r="E43" i="50"/>
  <c r="E39" i="50"/>
  <c r="E40" i="50"/>
  <c r="E47" i="50"/>
  <c r="E42" i="50"/>
  <c r="E48" i="50"/>
  <c r="E41" i="50"/>
  <c r="E44" i="50"/>
  <c r="E45" i="50"/>
  <c r="E46" i="50"/>
  <c r="E34" i="50"/>
  <c r="E37" i="50" s="1"/>
  <c r="S41" i="50"/>
  <c r="S45" i="50"/>
  <c r="S48" i="50"/>
  <c r="S42" i="50"/>
  <c r="S39" i="50"/>
  <c r="S40" i="50"/>
  <c r="S43" i="50"/>
  <c r="S44" i="50"/>
  <c r="S47" i="50"/>
  <c r="S46" i="50"/>
  <c r="S34" i="50"/>
  <c r="S37" i="50" s="1"/>
  <c r="P42" i="50"/>
  <c r="P46" i="50"/>
  <c r="P39" i="50"/>
  <c r="P40" i="50"/>
  <c r="P43" i="50"/>
  <c r="P44" i="50"/>
  <c r="P45" i="50"/>
  <c r="P41" i="50"/>
  <c r="P48" i="50"/>
  <c r="P47" i="50"/>
  <c r="P34" i="50"/>
  <c r="P37" i="50" s="1"/>
  <c r="F40" i="50"/>
  <c r="F44" i="50"/>
  <c r="F45" i="50"/>
  <c r="F46" i="50"/>
  <c r="F47" i="50"/>
  <c r="F41" i="50"/>
  <c r="F48" i="50"/>
  <c r="F42" i="50"/>
  <c r="F43" i="50"/>
  <c r="F39" i="50"/>
  <c r="F34" i="50"/>
  <c r="F37" i="50" s="1"/>
  <c r="F48" i="51"/>
  <c r="F40" i="51"/>
  <c r="F44" i="51"/>
  <c r="F45" i="51"/>
  <c r="F47" i="51"/>
  <c r="F46" i="51"/>
  <c r="F43" i="51"/>
  <c r="F42" i="51"/>
  <c r="F41" i="51"/>
  <c r="F39" i="51"/>
  <c r="F34" i="51"/>
  <c r="F37" i="51" s="1"/>
  <c r="Z44" i="50"/>
  <c r="Z40" i="50"/>
  <c r="Z41" i="50"/>
  <c r="Z48" i="50"/>
  <c r="Z42" i="50"/>
  <c r="Z45" i="50"/>
  <c r="Z47" i="50"/>
  <c r="Z46" i="50"/>
  <c r="Z39" i="50"/>
  <c r="Z43" i="50"/>
  <c r="Z34" i="50"/>
  <c r="Z37" i="50" s="1"/>
  <c r="G43" i="51"/>
  <c r="G47" i="51"/>
  <c r="G39" i="51"/>
  <c r="G48" i="51"/>
  <c r="G40" i="51"/>
  <c r="G45" i="51"/>
  <c r="G44" i="51"/>
  <c r="G42" i="51"/>
  <c r="G41" i="51"/>
  <c r="C154" i="51" s="1"/>
  <c r="G46" i="51"/>
  <c r="G34" i="51"/>
  <c r="G37" i="51" s="1"/>
  <c r="AC43" i="50"/>
  <c r="AC39" i="50"/>
  <c r="AC40" i="50"/>
  <c r="AC47" i="50"/>
  <c r="AC44" i="50"/>
  <c r="AC46" i="50"/>
  <c r="AC48" i="50"/>
  <c r="AC41" i="50"/>
  <c r="AC42" i="50"/>
  <c r="AC45" i="50"/>
  <c r="AC34" i="50"/>
  <c r="AC37" i="50" s="1"/>
  <c r="K47" i="51"/>
  <c r="K39" i="51"/>
  <c r="K43" i="51"/>
  <c r="K44" i="51"/>
  <c r="K48" i="51"/>
  <c r="K46" i="51"/>
  <c r="K45" i="51"/>
  <c r="K42" i="51"/>
  <c r="K41" i="51"/>
  <c r="K40" i="51"/>
  <c r="K34" i="51"/>
  <c r="K37" i="51" s="1"/>
  <c r="I39" i="50"/>
  <c r="I43" i="50"/>
  <c r="I44" i="50"/>
  <c r="I45" i="50"/>
  <c r="I47" i="50"/>
  <c r="I40" i="50"/>
  <c r="I46" i="50"/>
  <c r="I48" i="50"/>
  <c r="I41" i="50"/>
  <c r="I42" i="50"/>
  <c r="I34" i="50"/>
  <c r="I37" i="50" s="1"/>
  <c r="H46" i="51"/>
  <c r="H42" i="51"/>
  <c r="H43" i="51"/>
  <c r="H40" i="51"/>
  <c r="H39" i="51"/>
  <c r="H48" i="51"/>
  <c r="H45" i="51"/>
  <c r="H47" i="51"/>
  <c r="H44" i="51"/>
  <c r="H41" i="51"/>
  <c r="H34" i="51"/>
  <c r="H37" i="51" s="1"/>
  <c r="C41" i="50"/>
  <c r="C45" i="50"/>
  <c r="C46" i="50"/>
  <c r="C39" i="50"/>
  <c r="C40" i="50"/>
  <c r="C48" i="50"/>
  <c r="C43" i="50"/>
  <c r="C44" i="50"/>
  <c r="C47" i="50"/>
  <c r="C42" i="50"/>
  <c r="C34" i="50"/>
  <c r="C37" i="50" s="1"/>
  <c r="M45" i="51"/>
  <c r="M41" i="51"/>
  <c r="M42" i="51"/>
  <c r="M47" i="51"/>
  <c r="M46" i="51"/>
  <c r="M44" i="51"/>
  <c r="M43" i="51"/>
  <c r="M40" i="51"/>
  <c r="M39" i="51"/>
  <c r="M48" i="51"/>
  <c r="M34" i="51"/>
  <c r="M37" i="51" s="1"/>
  <c r="J44" i="50"/>
  <c r="J40" i="50"/>
  <c r="J41" i="50"/>
  <c r="J43" i="50"/>
  <c r="J48" i="50"/>
  <c r="J39" i="50"/>
  <c r="J47" i="50"/>
  <c r="J45" i="50"/>
  <c r="J42" i="50"/>
  <c r="J46" i="50"/>
  <c r="J34" i="50"/>
  <c r="J37" i="50" s="1"/>
  <c r="U43" i="50"/>
  <c r="U39" i="50"/>
  <c r="U40" i="50"/>
  <c r="U44" i="50"/>
  <c r="U47" i="50"/>
  <c r="U45" i="50"/>
  <c r="U41" i="50"/>
  <c r="U46" i="50"/>
  <c r="U48" i="50"/>
  <c r="U42" i="50"/>
  <c r="U34" i="50"/>
  <c r="U37" i="50" s="1"/>
  <c r="J44" i="51"/>
  <c r="J48" i="51"/>
  <c r="J40" i="51"/>
  <c r="J41" i="51"/>
  <c r="J47" i="51"/>
  <c r="J46" i="51"/>
  <c r="J45" i="51"/>
  <c r="J43" i="51"/>
  <c r="J42" i="51"/>
  <c r="J39" i="51"/>
  <c r="J34" i="51"/>
  <c r="J37" i="51" s="1"/>
  <c r="M43" i="50"/>
  <c r="M39" i="50"/>
  <c r="M40" i="50"/>
  <c r="M41" i="50"/>
  <c r="M47" i="50"/>
  <c r="M42" i="50"/>
  <c r="M45" i="50"/>
  <c r="M46" i="50"/>
  <c r="M48" i="50"/>
  <c r="M44" i="50"/>
  <c r="M34" i="50"/>
  <c r="M37" i="50" s="1"/>
  <c r="AA41" i="50"/>
  <c r="AA45" i="50"/>
  <c r="AA40" i="50"/>
  <c r="AA48" i="50"/>
  <c r="AA46" i="50"/>
  <c r="AA39" i="50"/>
  <c r="AA42" i="50"/>
  <c r="AA43" i="50"/>
  <c r="AA44" i="50"/>
  <c r="AA47" i="50"/>
  <c r="AA34" i="50"/>
  <c r="AA37" i="50" s="1"/>
  <c r="L42" i="50"/>
  <c r="L43" i="50"/>
  <c r="L46" i="50"/>
  <c r="L44" i="50"/>
  <c r="L45" i="50"/>
  <c r="L48" i="50"/>
  <c r="L39" i="50"/>
  <c r="L40" i="50"/>
  <c r="L41" i="50"/>
  <c r="L47" i="50"/>
  <c r="L34" i="50"/>
  <c r="L37" i="50" s="1"/>
  <c r="H42" i="50"/>
  <c r="H46" i="50"/>
  <c r="H39" i="50"/>
  <c r="H44" i="50"/>
  <c r="H45" i="50"/>
  <c r="H40" i="50"/>
  <c r="H41" i="50"/>
  <c r="H48" i="50"/>
  <c r="H47" i="50"/>
  <c r="H43" i="50"/>
  <c r="H34" i="50"/>
  <c r="H37" i="50" s="1"/>
  <c r="D42" i="51"/>
  <c r="D46" i="51"/>
  <c r="D47" i="51"/>
  <c r="D39" i="51"/>
  <c r="D48" i="51"/>
  <c r="D45" i="51"/>
  <c r="D44" i="51"/>
  <c r="C157" i="51" s="1"/>
  <c r="D41" i="51"/>
  <c r="D43" i="51"/>
  <c r="D40" i="51"/>
  <c r="D34" i="51"/>
  <c r="D37" i="51" s="1"/>
  <c r="Y39" i="50"/>
  <c r="Y43" i="50"/>
  <c r="Y44" i="50"/>
  <c r="Y41" i="50"/>
  <c r="Y42" i="50"/>
  <c r="Y46" i="50"/>
  <c r="Y47" i="50"/>
  <c r="Y40" i="50"/>
  <c r="Y48" i="50"/>
  <c r="Y45" i="50"/>
  <c r="Y34" i="50"/>
  <c r="Y37" i="50" s="1"/>
  <c r="K41" i="50"/>
  <c r="K45" i="50"/>
  <c r="K42" i="50"/>
  <c r="K43" i="50"/>
  <c r="K44" i="50"/>
  <c r="K48" i="50"/>
  <c r="K46" i="50"/>
  <c r="K39" i="50"/>
  <c r="K40" i="50"/>
  <c r="K47" i="50"/>
  <c r="K34" i="50"/>
  <c r="K37" i="50" s="1"/>
  <c r="I41" i="51"/>
  <c r="I45" i="51"/>
  <c r="I46" i="51"/>
  <c r="I47" i="51"/>
  <c r="I48" i="51"/>
  <c r="I44" i="51"/>
  <c r="I39" i="51"/>
  <c r="I43" i="51"/>
  <c r="I40" i="51"/>
  <c r="I42" i="51"/>
  <c r="I34" i="51"/>
  <c r="I37" i="51" s="1"/>
  <c r="T42" i="50"/>
  <c r="T43" i="50"/>
  <c r="T45" i="50"/>
  <c r="T40" i="50"/>
  <c r="T41" i="50"/>
  <c r="T46" i="50"/>
  <c r="T48" i="50"/>
  <c r="T44" i="50"/>
  <c r="T47" i="50"/>
  <c r="T39" i="50"/>
  <c r="T34" i="50"/>
  <c r="T37" i="50" s="1"/>
  <c r="C47" i="51"/>
  <c r="C160" i="51" s="1"/>
  <c r="C39" i="51"/>
  <c r="C43" i="51"/>
  <c r="C44" i="51"/>
  <c r="C46" i="51"/>
  <c r="C41" i="51"/>
  <c r="C48" i="51"/>
  <c r="C45" i="51"/>
  <c r="C42" i="51"/>
  <c r="C40" i="51"/>
  <c r="C34" i="51"/>
  <c r="C37" i="51" s="1"/>
  <c r="O45" i="50"/>
  <c r="O41" i="50"/>
  <c r="O42" i="50"/>
  <c r="O39" i="50"/>
  <c r="O40" i="50"/>
  <c r="O46" i="50"/>
  <c r="O44" i="50"/>
  <c r="O48" i="50"/>
  <c r="O47" i="50"/>
  <c r="O43" i="50"/>
  <c r="O34" i="50"/>
  <c r="O37" i="50" s="1"/>
  <c r="B43" i="50"/>
  <c r="B44" i="50"/>
  <c r="B48" i="50"/>
  <c r="B47" i="50"/>
  <c r="B40" i="50"/>
  <c r="B39" i="50"/>
  <c r="B45" i="50"/>
  <c r="B46" i="50"/>
  <c r="B41" i="50"/>
  <c r="B42" i="50"/>
  <c r="B34" i="50"/>
  <c r="B37" i="50" s="1"/>
  <c r="W45" i="50"/>
  <c r="W41" i="50"/>
  <c r="W42" i="50"/>
  <c r="W43" i="50"/>
  <c r="W44" i="50"/>
  <c r="W39" i="50"/>
  <c r="W40" i="50"/>
  <c r="W48" i="50"/>
  <c r="W47" i="50"/>
  <c r="W46" i="50"/>
  <c r="W34" i="50"/>
  <c r="W37" i="50" s="1"/>
  <c r="R44" i="50"/>
  <c r="R40" i="50"/>
  <c r="R41" i="50"/>
  <c r="R48" i="50"/>
  <c r="R39" i="50"/>
  <c r="R42" i="50"/>
  <c r="R43" i="50"/>
  <c r="R47" i="50"/>
  <c r="R45" i="50"/>
  <c r="R46" i="50"/>
  <c r="R34" i="50"/>
  <c r="R37" i="50" s="1"/>
  <c r="E45" i="51"/>
  <c r="E41" i="51"/>
  <c r="E42" i="51"/>
  <c r="E48" i="51"/>
  <c r="E47" i="51"/>
  <c r="E46" i="51"/>
  <c r="E44" i="51"/>
  <c r="E43" i="51"/>
  <c r="E40" i="51"/>
  <c r="E39" i="51"/>
  <c r="E34" i="51"/>
  <c r="E37" i="51" s="1"/>
  <c r="B152" i="50"/>
  <c r="B159" i="50"/>
  <c r="B155" i="50"/>
  <c r="C155" i="51"/>
  <c r="B154" i="50"/>
  <c r="B161" i="51"/>
  <c r="B160" i="50"/>
  <c r="C168" i="51"/>
  <c r="C170" i="51"/>
  <c r="B156" i="51"/>
  <c r="B156" i="50"/>
  <c r="B161" i="50"/>
  <c r="C170" i="50"/>
  <c r="B155" i="51"/>
  <c r="B157" i="51"/>
  <c r="B159" i="51"/>
  <c r="B154" i="51"/>
  <c r="B160" i="51"/>
  <c r="C168" i="50"/>
  <c r="C150" i="50"/>
  <c r="C164" i="51"/>
  <c r="S22" i="50"/>
  <c r="S25" i="50"/>
  <c r="S27" i="50" s="1"/>
  <c r="AA25" i="50"/>
  <c r="AA22" i="50"/>
  <c r="H25" i="50"/>
  <c r="H22" i="50"/>
  <c r="X25" i="50"/>
  <c r="X22" i="50"/>
  <c r="I25" i="50"/>
  <c r="I22" i="50"/>
  <c r="C150" i="51"/>
  <c r="D22" i="50"/>
  <c r="D25" i="50"/>
  <c r="M25" i="50"/>
  <c r="M27" i="50" s="1"/>
  <c r="M22" i="50"/>
  <c r="T22" i="50"/>
  <c r="T25" i="50"/>
  <c r="T27" i="50" s="1"/>
  <c r="AC25" i="50"/>
  <c r="AC22" i="50"/>
  <c r="N22" i="51"/>
  <c r="N26" i="51" s="1"/>
  <c r="N25" i="51"/>
  <c r="AB25" i="50"/>
  <c r="AB22" i="50"/>
  <c r="E22" i="50"/>
  <c r="E25" i="50"/>
  <c r="K25" i="50"/>
  <c r="K27" i="50" s="1"/>
  <c r="K22" i="50"/>
  <c r="E25" i="51"/>
  <c r="E22" i="51"/>
  <c r="Y25" i="50"/>
  <c r="Y22" i="50"/>
  <c r="L25" i="50"/>
  <c r="L27" i="50" s="1"/>
  <c r="L22" i="50"/>
  <c r="U22" i="50"/>
  <c r="U25" i="50"/>
  <c r="U27" i="50" s="1"/>
  <c r="N25" i="50"/>
  <c r="N22" i="50"/>
  <c r="B25" i="51"/>
  <c r="B27" i="51" s="1"/>
  <c r="B22" i="51"/>
  <c r="J22" i="51"/>
  <c r="J25" i="51"/>
  <c r="K22" i="51"/>
  <c r="K25" i="51"/>
  <c r="Z25" i="50"/>
  <c r="Z22" i="50"/>
  <c r="O22" i="50"/>
  <c r="O25" i="50"/>
  <c r="C25" i="51"/>
  <c r="C27" i="51" s="1"/>
  <c r="C22" i="51"/>
  <c r="R25" i="50"/>
  <c r="R27" i="50" s="1"/>
  <c r="R22" i="50"/>
  <c r="Q102" i="50"/>
  <c r="AC100" i="50"/>
  <c r="M100" i="50"/>
  <c r="E100" i="50"/>
  <c r="P102" i="50"/>
  <c r="AB100" i="50"/>
  <c r="L100" i="50"/>
  <c r="Y102" i="50"/>
  <c r="O102" i="50"/>
  <c r="AA100" i="50"/>
  <c r="K100" i="50"/>
  <c r="V100" i="50"/>
  <c r="N102" i="50"/>
  <c r="Z100" i="50"/>
  <c r="J100" i="50"/>
  <c r="J102" i="50"/>
  <c r="J18" i="50" s="1"/>
  <c r="AC102" i="50"/>
  <c r="M102" i="50"/>
  <c r="M18" i="50" s="1"/>
  <c r="Y100" i="50"/>
  <c r="I100" i="50"/>
  <c r="AB102" i="50"/>
  <c r="L102" i="50"/>
  <c r="L18" i="50" s="1"/>
  <c r="X100" i="50"/>
  <c r="H100" i="50"/>
  <c r="Z102" i="50"/>
  <c r="I102" i="50"/>
  <c r="I18" i="50" s="1"/>
  <c r="AA102" i="50"/>
  <c r="K102" i="50"/>
  <c r="K18" i="50" s="1"/>
  <c r="W100" i="50"/>
  <c r="G100" i="50"/>
  <c r="F100" i="50"/>
  <c r="X102" i="50"/>
  <c r="H102" i="50"/>
  <c r="H18" i="50" s="1"/>
  <c r="T100" i="50"/>
  <c r="D100" i="50"/>
  <c r="G102" i="50"/>
  <c r="G18" i="50" s="1"/>
  <c r="S100" i="50"/>
  <c r="C100" i="50"/>
  <c r="F102" i="50"/>
  <c r="F18" i="50" s="1"/>
  <c r="R100" i="50"/>
  <c r="B100" i="50"/>
  <c r="E102" i="50"/>
  <c r="E18" i="50" s="1"/>
  <c r="Q100" i="50"/>
  <c r="D102" i="50"/>
  <c r="D18" i="50" s="1"/>
  <c r="P100" i="50"/>
  <c r="C102" i="50"/>
  <c r="C18" i="50" s="1"/>
  <c r="O100" i="50"/>
  <c r="U100" i="50"/>
  <c r="B102" i="50"/>
  <c r="B18" i="50" s="1"/>
  <c r="N100" i="50"/>
  <c r="M22" i="51"/>
  <c r="M25" i="51"/>
  <c r="C164" i="50"/>
  <c r="F22" i="50"/>
  <c r="F25" i="50"/>
  <c r="P25" i="50"/>
  <c r="P27" i="50" s="1"/>
  <c r="P22" i="50"/>
  <c r="D25" i="51"/>
  <c r="D22" i="51"/>
  <c r="V22" i="50"/>
  <c r="V25" i="50"/>
  <c r="V27" i="50" s="1"/>
  <c r="J22" i="50"/>
  <c r="J25" i="50"/>
  <c r="J27" i="50" s="1"/>
  <c r="F25" i="51"/>
  <c r="F22" i="51"/>
  <c r="C22" i="50"/>
  <c r="C25" i="50"/>
  <c r="G25" i="50"/>
  <c r="G22" i="50"/>
  <c r="Q25" i="50"/>
  <c r="Q22" i="50"/>
  <c r="G25" i="51"/>
  <c r="G27" i="51" s="1"/>
  <c r="G22" i="51"/>
  <c r="I25" i="51"/>
  <c r="I27" i="51" s="1"/>
  <c r="I22" i="51"/>
  <c r="D102" i="51"/>
  <c r="L102" i="51"/>
  <c r="N100" i="51"/>
  <c r="I100" i="51"/>
  <c r="M100" i="51"/>
  <c r="L100" i="51"/>
  <c r="N102" i="51"/>
  <c r="N18" i="51" s="1"/>
  <c r="K100" i="51"/>
  <c r="M102" i="51"/>
  <c r="J100" i="51"/>
  <c r="K102" i="51"/>
  <c r="H100" i="51"/>
  <c r="J102" i="51"/>
  <c r="G100" i="51"/>
  <c r="F100" i="51"/>
  <c r="E100" i="51"/>
  <c r="D100" i="51"/>
  <c r="F102" i="51"/>
  <c r="C100" i="51"/>
  <c r="E102" i="51"/>
  <c r="B100" i="51"/>
  <c r="L22" i="51"/>
  <c r="L25" i="51"/>
  <c r="W25" i="50"/>
  <c r="W27" i="50" s="1"/>
  <c r="W22" i="50"/>
  <c r="B25" i="50"/>
  <c r="B22" i="50"/>
  <c r="H25" i="51"/>
  <c r="H27" i="51" s="1"/>
  <c r="H22" i="51"/>
  <c r="E5" i="19"/>
  <c r="E6" i="19"/>
  <c r="E8" i="19"/>
  <c r="E9" i="19"/>
  <c r="E7" i="19"/>
  <c r="A7" i="19"/>
  <c r="A9" i="19"/>
  <c r="A8" i="19"/>
  <c r="A6" i="19"/>
  <c r="A5" i="19"/>
  <c r="B17" i="49"/>
  <c r="C156" i="51" l="1"/>
  <c r="C159" i="51"/>
  <c r="C159" i="50"/>
  <c r="C157" i="50"/>
  <c r="C156" i="50"/>
  <c r="C155" i="50"/>
  <c r="C154" i="50"/>
  <c r="D28" i="51"/>
  <c r="C160" i="50"/>
  <c r="C152" i="50"/>
  <c r="T28" i="50"/>
  <c r="M28" i="50"/>
  <c r="Y28" i="50"/>
  <c r="N27" i="51"/>
  <c r="N28" i="51" s="1"/>
  <c r="F26" i="50"/>
  <c r="F27" i="50" s="1"/>
  <c r="H28" i="50"/>
  <c r="K28" i="50"/>
  <c r="I26" i="50"/>
  <c r="I27" i="50" s="1"/>
  <c r="I28" i="50"/>
  <c r="G26" i="50"/>
  <c r="G27" i="50" s="1"/>
  <c r="B26" i="50"/>
  <c r="B27" i="50" s="1"/>
  <c r="D28" i="50"/>
  <c r="B28" i="51"/>
  <c r="L26" i="51"/>
  <c r="L27" i="51" s="1"/>
  <c r="F26" i="51"/>
  <c r="F27" i="51" s="1"/>
  <c r="H28" i="51"/>
  <c r="N26" i="50"/>
  <c r="N27" i="50" s="1"/>
  <c r="P28" i="50"/>
  <c r="J28" i="50"/>
  <c r="H26" i="50"/>
  <c r="H27" i="50" s="1"/>
  <c r="AB28" i="50"/>
  <c r="Z26" i="50"/>
  <c r="Z27" i="50" s="1"/>
  <c r="K26" i="51"/>
  <c r="K27" i="51" s="1"/>
  <c r="M28" i="51"/>
  <c r="AA26" i="50"/>
  <c r="AA27" i="50" s="1"/>
  <c r="B28" i="50"/>
  <c r="Q26" i="50"/>
  <c r="Q27" i="50" s="1"/>
  <c r="S28" i="50"/>
  <c r="E26" i="51"/>
  <c r="E27" i="51" s="1"/>
  <c r="G28" i="51"/>
  <c r="R28" i="50"/>
  <c r="J26" i="51"/>
  <c r="J27" i="51" s="1"/>
  <c r="L28" i="51"/>
  <c r="L28" i="50"/>
  <c r="W28" i="50"/>
  <c r="F28" i="50"/>
  <c r="D26" i="50"/>
  <c r="D27" i="50" s="1"/>
  <c r="Z28" i="50"/>
  <c r="X26" i="50"/>
  <c r="X27" i="50" s="1"/>
  <c r="C28" i="51"/>
  <c r="M26" i="51"/>
  <c r="M27" i="51" s="1"/>
  <c r="E28" i="51"/>
  <c r="N28" i="50"/>
  <c r="AC28" i="50"/>
  <c r="AC27" i="50"/>
  <c r="X28" i="50"/>
  <c r="U28" i="50"/>
  <c r="K28" i="51"/>
  <c r="I28" i="51"/>
  <c r="AA28" i="50"/>
  <c r="Y26" i="50"/>
  <c r="Y27" i="50" s="1"/>
  <c r="V28" i="50"/>
  <c r="C26" i="50"/>
  <c r="C27" i="50" s="1"/>
  <c r="E28" i="50"/>
  <c r="E26" i="50"/>
  <c r="E27" i="50" s="1"/>
  <c r="G28" i="50"/>
  <c r="AB26" i="50"/>
  <c r="AB27" i="50" s="1"/>
  <c r="C28" i="50"/>
  <c r="J28" i="51"/>
  <c r="D26" i="51"/>
  <c r="D27" i="51" s="1"/>
  <c r="F28" i="51"/>
  <c r="O26" i="50"/>
  <c r="O27" i="50" s="1"/>
  <c r="Q28" i="50"/>
  <c r="O28" i="50"/>
  <c r="A172" i="47"/>
  <c r="A171" i="47"/>
  <c r="A170" i="47"/>
  <c r="A169" i="47"/>
  <c r="A168" i="47"/>
  <c r="A167" i="47"/>
  <c r="A166" i="47"/>
  <c r="A165" i="47"/>
  <c r="A164" i="47"/>
  <c r="A163" i="47"/>
  <c r="A162" i="47"/>
  <c r="A161" i="47"/>
  <c r="A160" i="47"/>
  <c r="A159" i="47"/>
  <c r="A158" i="47"/>
  <c r="A157" i="47"/>
  <c r="A156" i="47"/>
  <c r="A155" i="47"/>
  <c r="A154" i="47"/>
  <c r="A153" i="47"/>
  <c r="A152" i="47"/>
  <c r="A151" i="47"/>
  <c r="B105" i="47" a="1"/>
  <c r="B105" i="47" s="1"/>
  <c r="L103" i="47"/>
  <c r="K103" i="47"/>
  <c r="J103" i="47"/>
  <c r="I103" i="47"/>
  <c r="H103" i="47"/>
  <c r="G103" i="47"/>
  <c r="M102" i="47"/>
  <c r="M18" i="47" s="1"/>
  <c r="L102" i="47"/>
  <c r="K102" i="47"/>
  <c r="J102" i="47"/>
  <c r="I102" i="47"/>
  <c r="H102" i="47"/>
  <c r="G102" i="47"/>
  <c r="F102" i="47"/>
  <c r="F18" i="47" s="1"/>
  <c r="E102" i="47"/>
  <c r="E18" i="47" s="1"/>
  <c r="D102" i="47"/>
  <c r="D18" i="47" s="1"/>
  <c r="C102" i="47"/>
  <c r="B102" i="47"/>
  <c r="B18" i="47" s="1"/>
  <c r="M100" i="47"/>
  <c r="L100" i="47"/>
  <c r="K100" i="47"/>
  <c r="J100" i="47"/>
  <c r="I100" i="47"/>
  <c r="H100" i="47"/>
  <c r="G100" i="47"/>
  <c r="F100" i="47"/>
  <c r="E100" i="47"/>
  <c r="D100" i="47"/>
  <c r="C100" i="47"/>
  <c r="B100" i="47"/>
  <c r="M56" i="47"/>
  <c r="M57" i="47" s="1"/>
  <c r="L56" i="47"/>
  <c r="L57" i="47" s="1"/>
  <c r="K56" i="47"/>
  <c r="K57" i="47" s="1"/>
  <c r="J56" i="47"/>
  <c r="J57" i="47" s="1"/>
  <c r="I56" i="47"/>
  <c r="I57" i="47" s="1"/>
  <c r="H56" i="47"/>
  <c r="H57" i="47" s="1"/>
  <c r="G56" i="47"/>
  <c r="G57" i="47" s="1"/>
  <c r="F56" i="47"/>
  <c r="F57" i="47" s="1"/>
  <c r="E56" i="47"/>
  <c r="E57" i="47" s="1"/>
  <c r="D56" i="47"/>
  <c r="D57" i="47" s="1"/>
  <c r="C56" i="47"/>
  <c r="C57" i="47" s="1"/>
  <c r="B56" i="47"/>
  <c r="B57" i="47" s="1"/>
  <c r="M54" i="47"/>
  <c r="M55" i="47" s="1"/>
  <c r="L54" i="47"/>
  <c r="L55" i="47" s="1"/>
  <c r="K54" i="47"/>
  <c r="K55" i="47" s="1"/>
  <c r="J54" i="47"/>
  <c r="J55" i="47" s="1"/>
  <c r="I54" i="47"/>
  <c r="I55" i="47" s="1"/>
  <c r="H54" i="47"/>
  <c r="H55" i="47" s="1"/>
  <c r="G54" i="47"/>
  <c r="G55" i="47" s="1"/>
  <c r="F54" i="47"/>
  <c r="F55" i="47" s="1"/>
  <c r="E54" i="47"/>
  <c r="E55" i="47" s="1"/>
  <c r="D54" i="47"/>
  <c r="D55" i="47" s="1"/>
  <c r="C54" i="47"/>
  <c r="C55" i="47" s="1"/>
  <c r="B54" i="47"/>
  <c r="B55" i="47" s="1"/>
  <c r="M50" i="47"/>
  <c r="M51" i="47" s="1"/>
  <c r="L50" i="47"/>
  <c r="L51" i="47" s="1"/>
  <c r="K50" i="47"/>
  <c r="K51" i="47" s="1"/>
  <c r="J50" i="47"/>
  <c r="J51" i="47" s="1"/>
  <c r="I50" i="47"/>
  <c r="I51" i="47" s="1"/>
  <c r="H50" i="47"/>
  <c r="H51" i="47" s="1"/>
  <c r="G50" i="47"/>
  <c r="G51" i="47" s="1"/>
  <c r="F50" i="47"/>
  <c r="F51" i="47" s="1"/>
  <c r="E50" i="47"/>
  <c r="E51" i="47" s="1"/>
  <c r="D50" i="47"/>
  <c r="D51" i="47" s="1"/>
  <c r="C50" i="47"/>
  <c r="C51" i="47" s="1"/>
  <c r="B50" i="47"/>
  <c r="B51" i="47" s="1"/>
  <c r="M35" i="47"/>
  <c r="L35" i="47"/>
  <c r="K35" i="47"/>
  <c r="J35" i="47"/>
  <c r="I35" i="47"/>
  <c r="H35" i="47"/>
  <c r="G35" i="47"/>
  <c r="F35" i="47"/>
  <c r="E35" i="47"/>
  <c r="D35" i="47"/>
  <c r="C35" i="47"/>
  <c r="B35" i="47"/>
  <c r="M33" i="47"/>
  <c r="M36" i="47" s="1"/>
  <c r="L33" i="47"/>
  <c r="L36" i="47" s="1"/>
  <c r="K33" i="47"/>
  <c r="K36" i="47" s="1"/>
  <c r="J33" i="47"/>
  <c r="J36" i="47" s="1"/>
  <c r="I33" i="47"/>
  <c r="I36" i="47" s="1"/>
  <c r="H33" i="47"/>
  <c r="H36" i="47" s="1"/>
  <c r="G33" i="47"/>
  <c r="G36" i="47" s="1"/>
  <c r="F33" i="47"/>
  <c r="F36" i="47" s="1"/>
  <c r="E33" i="47"/>
  <c r="E36" i="47" s="1"/>
  <c r="D33" i="47"/>
  <c r="D36" i="47" s="1"/>
  <c r="C33" i="47"/>
  <c r="C36" i="47" s="1"/>
  <c r="B33" i="47"/>
  <c r="B36" i="47" s="1"/>
  <c r="L30" i="47"/>
  <c r="K30" i="47"/>
  <c r="J30" i="47"/>
  <c r="I30" i="47"/>
  <c r="H30" i="47"/>
  <c r="G30" i="47"/>
  <c r="L26" i="47"/>
  <c r="K26" i="47"/>
  <c r="J26" i="47"/>
  <c r="I26" i="47"/>
  <c r="H26" i="47"/>
  <c r="G26" i="47"/>
  <c r="M24" i="47"/>
  <c r="F24" i="47"/>
  <c r="E24" i="47"/>
  <c r="D24" i="47"/>
  <c r="C24" i="47"/>
  <c r="B24" i="47"/>
  <c r="L18" i="47"/>
  <c r="K18" i="47"/>
  <c r="J18" i="47"/>
  <c r="I18" i="47"/>
  <c r="H18" i="47"/>
  <c r="G18" i="47"/>
  <c r="C18" i="47"/>
  <c r="B11" i="47"/>
  <c r="F30" i="47" s="1"/>
  <c r="B10" i="47"/>
  <c r="J24" i="47" s="1"/>
  <c r="B9" i="47"/>
  <c r="F23" i="47" s="1"/>
  <c r="B7" i="47"/>
  <c r="B8" i="47" s="1"/>
  <c r="B3" i="47"/>
  <c r="B3" i="46"/>
  <c r="B7" i="46"/>
  <c r="B8" i="46" s="1"/>
  <c r="B9" i="46"/>
  <c r="C23" i="46" s="1"/>
  <c r="B10" i="46"/>
  <c r="G24" i="46" s="1"/>
  <c r="B11" i="46"/>
  <c r="B30" i="46" s="1"/>
  <c r="G18" i="46"/>
  <c r="H18" i="46"/>
  <c r="I18" i="46"/>
  <c r="J18" i="46"/>
  <c r="K18" i="46"/>
  <c r="L18" i="46"/>
  <c r="B24" i="46"/>
  <c r="C24" i="46"/>
  <c r="D24" i="46"/>
  <c r="E24" i="46"/>
  <c r="F24" i="46"/>
  <c r="G26" i="46"/>
  <c r="H26" i="46"/>
  <c r="I26" i="46"/>
  <c r="J26" i="46"/>
  <c r="K26" i="46"/>
  <c r="L26" i="46"/>
  <c r="G30" i="46"/>
  <c r="H30" i="46"/>
  <c r="I30" i="46"/>
  <c r="J30" i="46"/>
  <c r="K30" i="46"/>
  <c r="L30" i="46"/>
  <c r="M30" i="46"/>
  <c r="B33" i="46"/>
  <c r="B36" i="46" s="1"/>
  <c r="C33" i="46"/>
  <c r="C36" i="46" s="1"/>
  <c r="D33" i="46"/>
  <c r="D36" i="46" s="1"/>
  <c r="E33" i="46"/>
  <c r="F33" i="46"/>
  <c r="F36" i="46" s="1"/>
  <c r="G33" i="46"/>
  <c r="H33" i="46"/>
  <c r="H36" i="46" s="1"/>
  <c r="I33" i="46"/>
  <c r="I36" i="46" s="1"/>
  <c r="J33" i="46"/>
  <c r="J36" i="46" s="1"/>
  <c r="K33" i="46"/>
  <c r="K36" i="46" s="1"/>
  <c r="L33" i="46"/>
  <c r="L36" i="46" s="1"/>
  <c r="M33" i="46"/>
  <c r="M36" i="46" s="1"/>
  <c r="B35" i="46"/>
  <c r="C35" i="46"/>
  <c r="D35" i="46"/>
  <c r="E35" i="46"/>
  <c r="F35" i="46"/>
  <c r="G35" i="46"/>
  <c r="H35" i="46"/>
  <c r="I35" i="46"/>
  <c r="J35" i="46"/>
  <c r="K35" i="46"/>
  <c r="L35" i="46"/>
  <c r="M35" i="46"/>
  <c r="E36" i="46"/>
  <c r="G36" i="46"/>
  <c r="B50" i="46"/>
  <c r="B51" i="46" s="1"/>
  <c r="C50" i="46"/>
  <c r="C51" i="46" s="1"/>
  <c r="D50" i="46"/>
  <c r="D51" i="46" s="1"/>
  <c r="E50" i="46"/>
  <c r="E51" i="46" s="1"/>
  <c r="F50" i="46"/>
  <c r="F51" i="46" s="1"/>
  <c r="G51" i="46"/>
  <c r="H51" i="46"/>
  <c r="I51" i="46"/>
  <c r="J51" i="46"/>
  <c r="K51" i="46"/>
  <c r="L51" i="46"/>
  <c r="M51" i="46"/>
  <c r="B54" i="46"/>
  <c r="B55" i="46" s="1"/>
  <c r="C54" i="46"/>
  <c r="C55" i="46" s="1"/>
  <c r="D54" i="46"/>
  <c r="D55" i="46" s="1"/>
  <c r="E54" i="46"/>
  <c r="E55" i="46" s="1"/>
  <c r="F54" i="46"/>
  <c r="F55" i="46" s="1"/>
  <c r="B56" i="46"/>
  <c r="B57" i="46" s="1"/>
  <c r="C56" i="46"/>
  <c r="C57" i="46" s="1"/>
  <c r="D56" i="46"/>
  <c r="D57" i="46" s="1"/>
  <c r="E56" i="46"/>
  <c r="E57" i="46" s="1"/>
  <c r="F56" i="46"/>
  <c r="F57" i="46" s="1"/>
  <c r="G56" i="46"/>
  <c r="G57" i="46" s="1"/>
  <c r="H56" i="46"/>
  <c r="H57" i="46" s="1"/>
  <c r="I56" i="46"/>
  <c r="I57" i="46" s="1"/>
  <c r="J56" i="46"/>
  <c r="J57" i="46" s="1"/>
  <c r="K56" i="46"/>
  <c r="K57" i="46" s="1"/>
  <c r="L56" i="46"/>
  <c r="L57" i="46" s="1"/>
  <c r="M57" i="46"/>
  <c r="B100" i="46"/>
  <c r="C100" i="46"/>
  <c r="D100" i="46"/>
  <c r="E100" i="46"/>
  <c r="F100" i="46"/>
  <c r="G100" i="46"/>
  <c r="H100" i="46"/>
  <c r="I100" i="46"/>
  <c r="J100" i="46"/>
  <c r="K100" i="46"/>
  <c r="L100" i="46"/>
  <c r="M100" i="46"/>
  <c r="B102" i="46"/>
  <c r="B18" i="46" s="1"/>
  <c r="C102" i="46"/>
  <c r="C18" i="46" s="1"/>
  <c r="D102" i="46"/>
  <c r="D18" i="46" s="1"/>
  <c r="E102" i="46"/>
  <c r="E18" i="46" s="1"/>
  <c r="F102" i="46"/>
  <c r="F18" i="46" s="1"/>
  <c r="G102" i="46"/>
  <c r="H102" i="46"/>
  <c r="I102" i="46"/>
  <c r="J102" i="46"/>
  <c r="K102" i="46"/>
  <c r="L102" i="46"/>
  <c r="M102" i="46"/>
  <c r="M18" i="46" s="1"/>
  <c r="G103" i="46"/>
  <c r="H103" i="46"/>
  <c r="I103" i="46"/>
  <c r="J103" i="46"/>
  <c r="K103" i="46"/>
  <c r="L103" i="46"/>
  <c r="B105" i="46" a="1"/>
  <c r="B105" i="46" s="1"/>
  <c r="A151" i="46"/>
  <c r="A152" i="46"/>
  <c r="A153" i="46"/>
  <c r="A154" i="46"/>
  <c r="A155" i="46"/>
  <c r="A156" i="46"/>
  <c r="A157" i="46"/>
  <c r="A158" i="46"/>
  <c r="A159" i="46"/>
  <c r="A160" i="46"/>
  <c r="A161" i="46"/>
  <c r="A162" i="46"/>
  <c r="A163" i="46"/>
  <c r="A164" i="46"/>
  <c r="A165" i="46"/>
  <c r="A166" i="46"/>
  <c r="A167" i="46"/>
  <c r="A168" i="46"/>
  <c r="A169" i="46"/>
  <c r="A170" i="46"/>
  <c r="A171" i="46"/>
  <c r="A172" i="46"/>
  <c r="E48" i="46" l="1"/>
  <c r="E46" i="46"/>
  <c r="E44" i="46"/>
  <c r="E42" i="46"/>
  <c r="E40" i="46"/>
  <c r="E47" i="46"/>
  <c r="E45" i="46"/>
  <c r="E43" i="46"/>
  <c r="E41" i="46"/>
  <c r="E39" i="46"/>
  <c r="E34" i="46"/>
  <c r="E37" i="46" s="1"/>
  <c r="E48" i="47"/>
  <c r="E46" i="47"/>
  <c r="E44" i="47"/>
  <c r="E42" i="47"/>
  <c r="E40" i="47"/>
  <c r="E47" i="47"/>
  <c r="E45" i="47"/>
  <c r="E43" i="47"/>
  <c r="E41" i="47"/>
  <c r="E39" i="47"/>
  <c r="E34" i="47"/>
  <c r="E37" i="47" s="1"/>
  <c r="I47" i="46"/>
  <c r="I45" i="46"/>
  <c r="I43" i="46"/>
  <c r="I41" i="46"/>
  <c r="I39" i="46"/>
  <c r="I48" i="46"/>
  <c r="I46" i="46"/>
  <c r="I44" i="46"/>
  <c r="I42" i="46"/>
  <c r="I40" i="46"/>
  <c r="I34" i="46"/>
  <c r="I37" i="46" s="1"/>
  <c r="F47" i="47"/>
  <c r="F40" i="47"/>
  <c r="F41" i="47"/>
  <c r="F48" i="47"/>
  <c r="F39" i="47"/>
  <c r="F42" i="47"/>
  <c r="F43" i="47"/>
  <c r="F46" i="47"/>
  <c r="F45" i="47"/>
  <c r="F44" i="47"/>
  <c r="F34" i="47"/>
  <c r="F37" i="47" s="1"/>
  <c r="B45" i="46"/>
  <c r="B46" i="46"/>
  <c r="B39" i="46"/>
  <c r="B44" i="46"/>
  <c r="B47" i="46"/>
  <c r="B43" i="46"/>
  <c r="B42" i="46"/>
  <c r="B48" i="46"/>
  <c r="B41" i="46"/>
  <c r="B40" i="46"/>
  <c r="B34" i="46"/>
  <c r="B37" i="46" s="1"/>
  <c r="H47" i="46"/>
  <c r="H45" i="46"/>
  <c r="H43" i="46"/>
  <c r="H41" i="46"/>
  <c r="H39" i="46"/>
  <c r="H48" i="46"/>
  <c r="H46" i="46"/>
  <c r="H44" i="46"/>
  <c r="H42" i="46"/>
  <c r="H40" i="46"/>
  <c r="H34" i="46"/>
  <c r="H37" i="46" s="1"/>
  <c r="G47" i="47"/>
  <c r="G45" i="47"/>
  <c r="G43" i="47"/>
  <c r="G41" i="47"/>
  <c r="G39" i="47"/>
  <c r="G48" i="47"/>
  <c r="G46" i="47"/>
  <c r="G40" i="47"/>
  <c r="G44" i="47"/>
  <c r="G42" i="47"/>
  <c r="G34" i="47"/>
  <c r="G37" i="47" s="1"/>
  <c r="H47" i="47"/>
  <c r="H45" i="47"/>
  <c r="H43" i="47"/>
  <c r="H41" i="47"/>
  <c r="H39" i="47"/>
  <c r="H48" i="47"/>
  <c r="H46" i="47"/>
  <c r="H44" i="47"/>
  <c r="H42" i="47"/>
  <c r="H40" i="47"/>
  <c r="H34" i="47"/>
  <c r="H37" i="47" s="1"/>
  <c r="M48" i="47"/>
  <c r="M46" i="47"/>
  <c r="M44" i="47"/>
  <c r="M42" i="47"/>
  <c r="M40" i="47"/>
  <c r="M47" i="47"/>
  <c r="M45" i="47"/>
  <c r="M43" i="47"/>
  <c r="M41" i="47"/>
  <c r="M39" i="47"/>
  <c r="M34" i="47"/>
  <c r="M37" i="47" s="1"/>
  <c r="F41" i="46"/>
  <c r="F44" i="46"/>
  <c r="F42" i="46"/>
  <c r="F43" i="46"/>
  <c r="F39" i="46"/>
  <c r="F46" i="46"/>
  <c r="F48" i="46"/>
  <c r="F47" i="46"/>
  <c r="F40" i="46"/>
  <c r="F45" i="46"/>
  <c r="F34" i="46"/>
  <c r="F37" i="46" s="1"/>
  <c r="I47" i="47"/>
  <c r="I45" i="47"/>
  <c r="I43" i="47"/>
  <c r="I41" i="47"/>
  <c r="I39" i="47"/>
  <c r="I48" i="47"/>
  <c r="I46" i="47"/>
  <c r="I44" i="47"/>
  <c r="I42" i="47"/>
  <c r="I40" i="47"/>
  <c r="I34" i="47"/>
  <c r="I37" i="47" s="1"/>
  <c r="M48" i="46"/>
  <c r="M46" i="46"/>
  <c r="M44" i="46"/>
  <c r="M42" i="46"/>
  <c r="M40" i="46"/>
  <c r="M47" i="46"/>
  <c r="M45" i="46"/>
  <c r="M43" i="46"/>
  <c r="M41" i="46"/>
  <c r="M39" i="46"/>
  <c r="M34" i="46"/>
  <c r="M37" i="46" s="1"/>
  <c r="B42" i="47"/>
  <c r="B45" i="47"/>
  <c r="B43" i="47"/>
  <c r="B44" i="47"/>
  <c r="B40" i="47"/>
  <c r="B47" i="47"/>
  <c r="B48" i="47"/>
  <c r="B41" i="47"/>
  <c r="B46" i="47"/>
  <c r="B39" i="47"/>
  <c r="B34" i="47"/>
  <c r="B37" i="47" s="1"/>
  <c r="J45" i="47"/>
  <c r="J46" i="47"/>
  <c r="J39" i="47"/>
  <c r="J44" i="47"/>
  <c r="J47" i="47"/>
  <c r="J43" i="47"/>
  <c r="J42" i="47"/>
  <c r="J48" i="47"/>
  <c r="J41" i="47"/>
  <c r="J40" i="47"/>
  <c r="J34" i="47"/>
  <c r="J37" i="47" s="1"/>
  <c r="J46" i="46"/>
  <c r="J39" i="46"/>
  <c r="J40" i="46"/>
  <c r="J47" i="46"/>
  <c r="J48" i="46"/>
  <c r="J41" i="46"/>
  <c r="J42" i="46"/>
  <c r="J45" i="46"/>
  <c r="J44" i="46"/>
  <c r="J43" i="46"/>
  <c r="J34" i="46"/>
  <c r="J37" i="46" s="1"/>
  <c r="L48" i="46"/>
  <c r="L46" i="46"/>
  <c r="L44" i="46"/>
  <c r="L42" i="46"/>
  <c r="L40" i="46"/>
  <c r="L47" i="46"/>
  <c r="L45" i="46"/>
  <c r="L43" i="46"/>
  <c r="L41" i="46"/>
  <c r="L39" i="46"/>
  <c r="L34" i="46"/>
  <c r="L37" i="46" s="1"/>
  <c r="D48" i="46"/>
  <c r="D46" i="46"/>
  <c r="D44" i="46"/>
  <c r="D42" i="46"/>
  <c r="D40" i="46"/>
  <c r="D47" i="46"/>
  <c r="D45" i="46"/>
  <c r="D43" i="46"/>
  <c r="D41" i="46"/>
  <c r="D39" i="46"/>
  <c r="D34" i="46"/>
  <c r="D37" i="46" s="1"/>
  <c r="C48" i="47"/>
  <c r="C46" i="47"/>
  <c r="C44" i="47"/>
  <c r="C42" i="47"/>
  <c r="C40" i="47"/>
  <c r="C43" i="47"/>
  <c r="C41" i="47"/>
  <c r="C47" i="47"/>
  <c r="C39" i="47"/>
  <c r="C45" i="47"/>
  <c r="C34" i="47"/>
  <c r="C37" i="47" s="1"/>
  <c r="K48" i="47"/>
  <c r="K46" i="47"/>
  <c r="K44" i="47"/>
  <c r="K42" i="47"/>
  <c r="K40" i="47"/>
  <c r="K43" i="47"/>
  <c r="K45" i="47"/>
  <c r="K39" i="47"/>
  <c r="K41" i="47"/>
  <c r="K47" i="47"/>
  <c r="K34" i="47"/>
  <c r="K37" i="47" s="1"/>
  <c r="G47" i="46"/>
  <c r="G45" i="46"/>
  <c r="G43" i="46"/>
  <c r="G41" i="46"/>
  <c r="G39" i="46"/>
  <c r="G48" i="46"/>
  <c r="G42" i="46"/>
  <c r="G40" i="46"/>
  <c r="G46" i="46"/>
  <c r="G44" i="46"/>
  <c r="G34" i="46"/>
  <c r="G37" i="46" s="1"/>
  <c r="K48" i="46"/>
  <c r="K46" i="46"/>
  <c r="K44" i="46"/>
  <c r="K42" i="46"/>
  <c r="K40" i="46"/>
  <c r="K47" i="46"/>
  <c r="K45" i="46"/>
  <c r="K39" i="46"/>
  <c r="K43" i="46"/>
  <c r="K41" i="46"/>
  <c r="K34" i="46"/>
  <c r="K37" i="46" s="1"/>
  <c r="C48" i="46"/>
  <c r="C46" i="46"/>
  <c r="C44" i="46"/>
  <c r="C42" i="46"/>
  <c r="C40" i="46"/>
  <c r="C43" i="46"/>
  <c r="C45" i="46"/>
  <c r="C39" i="46"/>
  <c r="C41" i="46"/>
  <c r="C47" i="46"/>
  <c r="C34" i="46"/>
  <c r="C37" i="46" s="1"/>
  <c r="D48" i="47"/>
  <c r="D46" i="47"/>
  <c r="D44" i="47"/>
  <c r="D42" i="47"/>
  <c r="D40" i="47"/>
  <c r="D47" i="47"/>
  <c r="D45" i="47"/>
  <c r="D43" i="47"/>
  <c r="D41" i="47"/>
  <c r="D39" i="47"/>
  <c r="D34" i="47"/>
  <c r="D37" i="47" s="1"/>
  <c r="L48" i="47"/>
  <c r="L46" i="47"/>
  <c r="L44" i="47"/>
  <c r="L42" i="47"/>
  <c r="L40" i="47"/>
  <c r="L47" i="47"/>
  <c r="L45" i="47"/>
  <c r="L43" i="47"/>
  <c r="L41" i="47"/>
  <c r="L39" i="47"/>
  <c r="L34" i="47"/>
  <c r="L37" i="47" s="1"/>
  <c r="F30" i="46"/>
  <c r="M23" i="46"/>
  <c r="E30" i="46"/>
  <c r="L23" i="46"/>
  <c r="D30" i="46"/>
  <c r="K23" i="46"/>
  <c r="C30" i="46"/>
  <c r="J23" i="46"/>
  <c r="I23" i="46"/>
  <c r="B23" i="46"/>
  <c r="H23" i="46"/>
  <c r="G23" i="46"/>
  <c r="F23" i="46"/>
  <c r="E23" i="46"/>
  <c r="D23" i="46"/>
  <c r="M24" i="46"/>
  <c r="K24" i="47"/>
  <c r="L24" i="46"/>
  <c r="K24" i="46"/>
  <c r="I24" i="46"/>
  <c r="H24" i="46"/>
  <c r="J24" i="46"/>
  <c r="G23" i="47"/>
  <c r="M103" i="47"/>
  <c r="E103" i="47"/>
  <c r="I99" i="47"/>
  <c r="D103" i="47"/>
  <c r="H99" i="47"/>
  <c r="J99" i="47"/>
  <c r="B99" i="47"/>
  <c r="C103" i="47"/>
  <c r="G99" i="47"/>
  <c r="B103" i="47"/>
  <c r="F99" i="47"/>
  <c r="F103" i="47"/>
  <c r="M99" i="47"/>
  <c r="E99" i="47"/>
  <c r="L99" i="47"/>
  <c r="D99" i="47"/>
  <c r="K99" i="47"/>
  <c r="C99" i="47"/>
  <c r="F21" i="47"/>
  <c r="M21" i="47"/>
  <c r="E21" i="47"/>
  <c r="G21" i="47"/>
  <c r="L21" i="47"/>
  <c r="D21" i="47"/>
  <c r="K21" i="47"/>
  <c r="C21" i="47"/>
  <c r="J21" i="47"/>
  <c r="B21" i="47"/>
  <c r="I21" i="47"/>
  <c r="H21" i="47"/>
  <c r="H23" i="47"/>
  <c r="L24" i="47"/>
  <c r="I23" i="47"/>
  <c r="B23" i="47"/>
  <c r="J23" i="47"/>
  <c r="B30" i="47"/>
  <c r="C23" i="47"/>
  <c r="K23" i="47"/>
  <c r="G24" i="47"/>
  <c r="C30" i="47"/>
  <c r="D23" i="47"/>
  <c r="L23" i="47"/>
  <c r="H24" i="47"/>
  <c r="D30" i="47"/>
  <c r="E23" i="47"/>
  <c r="M23" i="47"/>
  <c r="I24" i="47"/>
  <c r="E30" i="47"/>
  <c r="M30" i="47"/>
  <c r="E99" i="46"/>
  <c r="M99" i="46"/>
  <c r="F99" i="46"/>
  <c r="B103" i="46"/>
  <c r="H99" i="46"/>
  <c r="D103" i="46"/>
  <c r="I99" i="46"/>
  <c r="E103" i="46"/>
  <c r="M103" i="46"/>
  <c r="B99" i="46"/>
  <c r="J99" i="46"/>
  <c r="F103" i="46"/>
  <c r="C99" i="46"/>
  <c r="K99" i="46"/>
  <c r="G99" i="46"/>
  <c r="C103" i="46"/>
  <c r="D99" i="46"/>
  <c r="L99" i="46"/>
  <c r="H21" i="46"/>
  <c r="I21" i="46"/>
  <c r="B21" i="46"/>
  <c r="J21" i="46"/>
  <c r="C21" i="46"/>
  <c r="K21" i="46"/>
  <c r="D21" i="46"/>
  <c r="L21" i="46"/>
  <c r="E21" i="46"/>
  <c r="M21" i="46"/>
  <c r="F21" i="46"/>
  <c r="G21" i="46"/>
  <c r="H22" i="47" l="1"/>
  <c r="H25" i="47"/>
  <c r="H27" i="47" s="1"/>
  <c r="G25" i="47"/>
  <c r="G27" i="47" s="1"/>
  <c r="G22" i="47"/>
  <c r="I22" i="47"/>
  <c r="I25" i="47"/>
  <c r="I27" i="47" s="1"/>
  <c r="E25" i="47"/>
  <c r="E22" i="47"/>
  <c r="E26" i="47" s="1"/>
  <c r="B22" i="47"/>
  <c r="B25" i="47"/>
  <c r="M25" i="47"/>
  <c r="M22" i="47"/>
  <c r="M26" i="47" s="1"/>
  <c r="J22" i="47"/>
  <c r="J25" i="47"/>
  <c r="J27" i="47" s="1"/>
  <c r="K25" i="47"/>
  <c r="K27" i="47" s="1"/>
  <c r="K22" i="47"/>
  <c r="L25" i="47"/>
  <c r="L27" i="47" s="1"/>
  <c r="L22" i="47"/>
  <c r="F25" i="47"/>
  <c r="F22" i="47"/>
  <c r="F26" i="47" s="1"/>
  <c r="C22" i="47"/>
  <c r="C26" i="47" s="1"/>
  <c r="C25" i="47"/>
  <c r="D25" i="47"/>
  <c r="D22" i="47"/>
  <c r="D26" i="47" s="1"/>
  <c r="C25" i="46"/>
  <c r="C22" i="46"/>
  <c r="C26" i="46" s="1"/>
  <c r="D22" i="46"/>
  <c r="D26" i="46" s="1"/>
  <c r="D25" i="46"/>
  <c r="G22" i="46"/>
  <c r="G25" i="46"/>
  <c r="G27" i="46" s="1"/>
  <c r="J25" i="46"/>
  <c r="J27" i="46" s="1"/>
  <c r="J22" i="46"/>
  <c r="L22" i="46"/>
  <c r="L25" i="46"/>
  <c r="L27" i="46" s="1"/>
  <c r="K25" i="46"/>
  <c r="K27" i="46" s="1"/>
  <c r="K22" i="46"/>
  <c r="F22" i="46"/>
  <c r="F26" i="46" s="1"/>
  <c r="F25" i="46"/>
  <c r="B25" i="46"/>
  <c r="B22" i="46"/>
  <c r="B26" i="46" s="1"/>
  <c r="M22" i="46"/>
  <c r="M26" i="46" s="1"/>
  <c r="M25" i="46"/>
  <c r="I25" i="46"/>
  <c r="I27" i="46" s="1"/>
  <c r="I22" i="46"/>
  <c r="E22" i="46"/>
  <c r="E26" i="46" s="1"/>
  <c r="E25" i="46"/>
  <c r="H25" i="46"/>
  <c r="H27" i="46" s="1"/>
  <c r="H22" i="46"/>
  <c r="M27" i="46" l="1"/>
  <c r="M28" i="46" s="1"/>
  <c r="D27" i="46"/>
  <c r="C27" i="47"/>
  <c r="D27" i="47"/>
  <c r="E27" i="47"/>
  <c r="F27" i="47"/>
  <c r="M27" i="47"/>
  <c r="M28" i="47" s="1"/>
  <c r="J28" i="47"/>
  <c r="B28" i="47"/>
  <c r="B26" i="47"/>
  <c r="B27" i="47" s="1"/>
  <c r="I28" i="47"/>
  <c r="H28" i="47"/>
  <c r="K28" i="47"/>
  <c r="G28" i="47"/>
  <c r="C28" i="47"/>
  <c r="F28" i="47"/>
  <c r="E28" i="47"/>
  <c r="L28" i="47"/>
  <c r="D28" i="47"/>
  <c r="D28" i="46"/>
  <c r="L28" i="46"/>
  <c r="E28" i="46"/>
  <c r="F28" i="46"/>
  <c r="G28" i="46"/>
  <c r="H28" i="46"/>
  <c r="I28" i="46"/>
  <c r="B27" i="46"/>
  <c r="B28" i="46"/>
  <c r="J28" i="46"/>
  <c r="C28" i="46"/>
  <c r="K28" i="46"/>
  <c r="C27" i="46"/>
  <c r="E27" i="46"/>
  <c r="F27" i="46"/>
  <c r="C4" i="19" l="1"/>
  <c r="B17" i="34" l="1"/>
  <c r="D17" i="19"/>
  <c r="E17" i="19" s="1"/>
  <c r="D15" i="19"/>
  <c r="E15" i="19" s="1"/>
  <c r="A17" i="19"/>
  <c r="A15" i="19"/>
  <c r="D10" i="19"/>
  <c r="E10" i="19" s="1"/>
  <c r="A10" i="19"/>
  <c r="E62" i="28"/>
  <c r="D62" i="28"/>
  <c r="C62" i="28"/>
  <c r="B62" i="28"/>
  <c r="E61" i="28"/>
  <c r="D61" i="28"/>
  <c r="C61" i="28"/>
  <c r="B61" i="28"/>
  <c r="A172" i="35"/>
  <c r="A171" i="35"/>
  <c r="A170" i="35"/>
  <c r="A169" i="35"/>
  <c r="A168" i="35"/>
  <c r="A167" i="35"/>
  <c r="A166" i="35"/>
  <c r="A165" i="35"/>
  <c r="A164" i="35"/>
  <c r="A163" i="35"/>
  <c r="A162" i="35"/>
  <c r="A161" i="35"/>
  <c r="A160" i="35"/>
  <c r="A159" i="35"/>
  <c r="A158" i="35"/>
  <c r="A157" i="35"/>
  <c r="A156" i="35"/>
  <c r="A155" i="35"/>
  <c r="A154" i="35"/>
  <c r="A153" i="35"/>
  <c r="A152" i="35"/>
  <c r="A151" i="35"/>
  <c r="E103" i="35"/>
  <c r="D103" i="35"/>
  <c r="C103" i="35"/>
  <c r="B103" i="35"/>
  <c r="E102" i="35"/>
  <c r="E18" i="35" s="1"/>
  <c r="D102" i="35"/>
  <c r="C102" i="35"/>
  <c r="C18" i="35" s="1"/>
  <c r="B102" i="35"/>
  <c r="B18" i="35" s="1"/>
  <c r="E100" i="35"/>
  <c r="D100" i="35"/>
  <c r="C100" i="35"/>
  <c r="B100" i="35"/>
  <c r="E99" i="35"/>
  <c r="D99" i="35"/>
  <c r="C99" i="35"/>
  <c r="B99" i="35"/>
  <c r="E35" i="35"/>
  <c r="D35" i="35"/>
  <c r="C35" i="35"/>
  <c r="B35" i="35"/>
  <c r="E33" i="35"/>
  <c r="E57" i="35" s="1"/>
  <c r="D33" i="35"/>
  <c r="D36" i="35" s="1"/>
  <c r="C33" i="35"/>
  <c r="C36" i="35" s="1"/>
  <c r="B33" i="35"/>
  <c r="B59" i="35" s="1"/>
  <c r="D30" i="35"/>
  <c r="D26" i="35"/>
  <c r="E24" i="35"/>
  <c r="C24" i="35"/>
  <c r="B24" i="35"/>
  <c r="D18" i="35"/>
  <c r="B11" i="35"/>
  <c r="C30" i="35" s="1"/>
  <c r="B10" i="35"/>
  <c r="D24" i="35" s="1"/>
  <c r="B9" i="35"/>
  <c r="C23" i="35" s="1"/>
  <c r="B7" i="35"/>
  <c r="B8" i="35" s="1"/>
  <c r="B3" i="35"/>
  <c r="B23" i="35"/>
  <c r="B30" i="35"/>
  <c r="E51" i="35"/>
  <c r="E11" i="19"/>
  <c r="A161" i="31"/>
  <c r="C33" i="31"/>
  <c r="C36" i="31" s="1"/>
  <c r="D33" i="31"/>
  <c r="B33" i="31"/>
  <c r="B36" i="31" s="1"/>
  <c r="A161" i="27"/>
  <c r="C33" i="27"/>
  <c r="D33" i="27"/>
  <c r="E33" i="27"/>
  <c r="F33" i="27"/>
  <c r="G33" i="27"/>
  <c r="G36" i="27" s="1"/>
  <c r="H33" i="27"/>
  <c r="H36" i="27" s="1"/>
  <c r="I33" i="27"/>
  <c r="J33" i="27"/>
  <c r="K33" i="27"/>
  <c r="K36" i="27" s="1"/>
  <c r="L33" i="27"/>
  <c r="M33" i="27"/>
  <c r="M36" i="27" s="1"/>
  <c r="N33" i="27"/>
  <c r="N36" i="27" s="1"/>
  <c r="B33" i="27"/>
  <c r="B36" i="27" s="1"/>
  <c r="A161" i="28"/>
  <c r="E33" i="28"/>
  <c r="D33" i="28"/>
  <c r="C33" i="28"/>
  <c r="B33" i="28"/>
  <c r="B36" i="28" s="1"/>
  <c r="B161" i="30"/>
  <c r="A161" i="30"/>
  <c r="C33" i="30"/>
  <c r="C36" i="30" s="1"/>
  <c r="D33" i="30"/>
  <c r="E33" i="30"/>
  <c r="E36" i="30" s="1"/>
  <c r="F33" i="30"/>
  <c r="F36" i="30" s="1"/>
  <c r="G33" i="30"/>
  <c r="G36" i="30" s="1"/>
  <c r="H33" i="30"/>
  <c r="H36" i="30" s="1"/>
  <c r="I33" i="30"/>
  <c r="I36" i="30" s="1"/>
  <c r="J33" i="30"/>
  <c r="J36" i="30" s="1"/>
  <c r="K33" i="30"/>
  <c r="K36" i="30" s="1"/>
  <c r="L33" i="30"/>
  <c r="M33" i="30"/>
  <c r="M36" i="30" s="1"/>
  <c r="N33" i="30"/>
  <c r="O33" i="30"/>
  <c r="O36" i="30" s="1"/>
  <c r="P33" i="30"/>
  <c r="P36" i="30" s="1"/>
  <c r="Q33" i="30"/>
  <c r="R33" i="30"/>
  <c r="S33" i="30"/>
  <c r="S36" i="30" s="1"/>
  <c r="T33" i="30"/>
  <c r="U33" i="30"/>
  <c r="V33" i="30"/>
  <c r="W33" i="30"/>
  <c r="X33" i="30"/>
  <c r="X36" i="30" s="1"/>
  <c r="Y33" i="30"/>
  <c r="Y36" i="30" s="1"/>
  <c r="Z33" i="30"/>
  <c r="Z36" i="30" s="1"/>
  <c r="AA33" i="30"/>
  <c r="AA36" i="30" s="1"/>
  <c r="AB33" i="30"/>
  <c r="AC33" i="30"/>
  <c r="AC36" i="30" s="1"/>
  <c r="B33" i="30"/>
  <c r="B36" i="30" s="1"/>
  <c r="A172" i="31"/>
  <c r="A171" i="31"/>
  <c r="A170" i="31"/>
  <c r="A169" i="31"/>
  <c r="A168" i="31"/>
  <c r="A167" i="31"/>
  <c r="A166" i="31"/>
  <c r="A165" i="31"/>
  <c r="A164" i="31"/>
  <c r="A163" i="31"/>
  <c r="A162" i="31"/>
  <c r="A160" i="31"/>
  <c r="A159" i="31"/>
  <c r="A158" i="31"/>
  <c r="A157" i="31"/>
  <c r="A156" i="31"/>
  <c r="A155" i="31"/>
  <c r="A154" i="31"/>
  <c r="A153" i="31"/>
  <c r="A152" i="31"/>
  <c r="A151" i="31"/>
  <c r="D103" i="31"/>
  <c r="C103" i="31"/>
  <c r="B103" i="31"/>
  <c r="D102" i="31"/>
  <c r="D18" i="31" s="1"/>
  <c r="C102" i="31"/>
  <c r="C18" i="31" s="1"/>
  <c r="B102" i="31"/>
  <c r="D100" i="31"/>
  <c r="C100" i="31"/>
  <c r="B100" i="31"/>
  <c r="D99" i="31"/>
  <c r="C99" i="31"/>
  <c r="B99" i="31"/>
  <c r="B35" i="31"/>
  <c r="C35" i="31"/>
  <c r="D35" i="31"/>
  <c r="B30" i="31"/>
  <c r="B26" i="31"/>
  <c r="C24" i="31"/>
  <c r="B18" i="31"/>
  <c r="B11" i="31"/>
  <c r="D30" i="31" s="1"/>
  <c r="B10" i="31"/>
  <c r="B9" i="31"/>
  <c r="D23" i="31" s="1"/>
  <c r="B7" i="31"/>
  <c r="B8" i="31" s="1"/>
  <c r="B3" i="31"/>
  <c r="D36" i="31"/>
  <c r="B163" i="30"/>
  <c r="B164" i="30" s="1"/>
  <c r="B160" i="30"/>
  <c r="B157" i="30"/>
  <c r="B156" i="30"/>
  <c r="B155" i="30"/>
  <c r="B154" i="30"/>
  <c r="B152" i="30"/>
  <c r="A164" i="27"/>
  <c r="A165" i="27"/>
  <c r="A166" i="27"/>
  <c r="A167" i="27"/>
  <c r="A168" i="27"/>
  <c r="A169" i="27"/>
  <c r="A170" i="27"/>
  <c r="A171" i="27"/>
  <c r="A172" i="27"/>
  <c r="A153" i="27"/>
  <c r="A154" i="27"/>
  <c r="A155" i="27"/>
  <c r="A156" i="27"/>
  <c r="A157" i="27"/>
  <c r="A158" i="27"/>
  <c r="A159" i="27"/>
  <c r="A160" i="27"/>
  <c r="A164" i="28"/>
  <c r="A165" i="28"/>
  <c r="A166" i="28"/>
  <c r="A167" i="28"/>
  <c r="A168" i="28"/>
  <c r="A169" i="28"/>
  <c r="A170" i="28"/>
  <c r="A171" i="28"/>
  <c r="A172" i="28"/>
  <c r="A153" i="28"/>
  <c r="A154" i="28"/>
  <c r="A155" i="28"/>
  <c r="A156" i="28"/>
  <c r="A157" i="28"/>
  <c r="A158" i="28"/>
  <c r="A159" i="28"/>
  <c r="A160" i="28"/>
  <c r="A165" i="30"/>
  <c r="A166" i="30"/>
  <c r="A167" i="30"/>
  <c r="A168" i="30"/>
  <c r="A169" i="30"/>
  <c r="A170" i="30"/>
  <c r="A171" i="30"/>
  <c r="A172" i="30"/>
  <c r="A158" i="30"/>
  <c r="A159" i="30"/>
  <c r="A160" i="30"/>
  <c r="D4" i="19"/>
  <c r="E4" i="19" s="1"/>
  <c r="A4" i="19"/>
  <c r="A164" i="30"/>
  <c r="A163" i="30"/>
  <c r="A157" i="30"/>
  <c r="A156" i="30"/>
  <c r="A155" i="30"/>
  <c r="A154" i="30"/>
  <c r="A153" i="30"/>
  <c r="A152" i="30"/>
  <c r="A151" i="30"/>
  <c r="B105" i="30" a="1"/>
  <c r="B105" i="30" s="1"/>
  <c r="AC103" i="30" s="1"/>
  <c r="W103" i="30"/>
  <c r="V103" i="30"/>
  <c r="U103" i="30"/>
  <c r="T103" i="30"/>
  <c r="S103" i="30"/>
  <c r="R103" i="30"/>
  <c r="W102" i="30"/>
  <c r="V102" i="30"/>
  <c r="U102" i="30"/>
  <c r="T102" i="30"/>
  <c r="S102" i="30"/>
  <c r="R102" i="30"/>
  <c r="AB57" i="30"/>
  <c r="AA57" i="30"/>
  <c r="Z57" i="30"/>
  <c r="Y57" i="30"/>
  <c r="X57" i="30"/>
  <c r="M57" i="30"/>
  <c r="L57" i="30"/>
  <c r="K57" i="30"/>
  <c r="J57" i="30"/>
  <c r="I57" i="30"/>
  <c r="H57" i="30"/>
  <c r="G57" i="30"/>
  <c r="F57" i="30"/>
  <c r="E57" i="30"/>
  <c r="D57" i="30"/>
  <c r="C57" i="30"/>
  <c r="B57" i="30"/>
  <c r="AB55" i="30"/>
  <c r="AA55" i="30"/>
  <c r="Z55" i="30"/>
  <c r="Y55" i="30"/>
  <c r="X55" i="30"/>
  <c r="M55" i="30"/>
  <c r="L55" i="30"/>
  <c r="K55" i="30"/>
  <c r="J55" i="30"/>
  <c r="I55" i="30"/>
  <c r="H55" i="30"/>
  <c r="G55" i="30"/>
  <c r="F55" i="30"/>
  <c r="E55" i="30"/>
  <c r="D55" i="30"/>
  <c r="C55" i="30"/>
  <c r="B55" i="30"/>
  <c r="AB51" i="30"/>
  <c r="AA51" i="30"/>
  <c r="Z51" i="30"/>
  <c r="Y51" i="30"/>
  <c r="X51" i="30"/>
  <c r="W51" i="30"/>
  <c r="V51" i="30"/>
  <c r="U51" i="30"/>
  <c r="T51" i="30"/>
  <c r="S51" i="30"/>
  <c r="R51" i="30"/>
  <c r="Q51" i="30"/>
  <c r="P51" i="30"/>
  <c r="O51" i="30"/>
  <c r="N51" i="30"/>
  <c r="M51" i="30"/>
  <c r="L51" i="30"/>
  <c r="K51" i="30"/>
  <c r="J51" i="30"/>
  <c r="I51" i="30"/>
  <c r="H51" i="30"/>
  <c r="G51" i="30"/>
  <c r="F51" i="30"/>
  <c r="E51" i="30"/>
  <c r="D51" i="30"/>
  <c r="C51" i="30"/>
  <c r="B51" i="30"/>
  <c r="W35" i="30"/>
  <c r="W54" i="30" s="1"/>
  <c r="W55" i="30" s="1"/>
  <c r="Q35" i="30"/>
  <c r="Q56" i="30" s="1"/>
  <c r="Q57" i="30" s="1"/>
  <c r="AB36" i="30"/>
  <c r="L36" i="30"/>
  <c r="D36" i="30"/>
  <c r="W30" i="30"/>
  <c r="V30" i="30"/>
  <c r="U30" i="30"/>
  <c r="T30" i="30"/>
  <c r="S30" i="30"/>
  <c r="R30" i="30"/>
  <c r="P30" i="30"/>
  <c r="O30" i="30"/>
  <c r="N30" i="30"/>
  <c r="AC26" i="30"/>
  <c r="W26" i="30"/>
  <c r="V26" i="30"/>
  <c r="U26" i="30"/>
  <c r="T26" i="30"/>
  <c r="S26" i="30"/>
  <c r="R26" i="30"/>
  <c r="P26" i="30"/>
  <c r="O26" i="30"/>
  <c r="N26" i="30"/>
  <c r="AC24" i="30"/>
  <c r="AB24" i="30"/>
  <c r="AA24" i="30"/>
  <c r="Z24" i="30"/>
  <c r="Y24" i="30"/>
  <c r="X24" i="30"/>
  <c r="Q24" i="30"/>
  <c r="M24" i="30"/>
  <c r="L24" i="30"/>
  <c r="K24" i="30"/>
  <c r="J24" i="30"/>
  <c r="I24" i="30"/>
  <c r="H24" i="30"/>
  <c r="G24" i="30"/>
  <c r="F24" i="30"/>
  <c r="E24" i="30"/>
  <c r="D24" i="30"/>
  <c r="C24" i="30"/>
  <c r="B24" i="30"/>
  <c r="AB18" i="30"/>
  <c r="AA18" i="30"/>
  <c r="Z18" i="30"/>
  <c r="Y18" i="30"/>
  <c r="X18" i="30"/>
  <c r="W18" i="30"/>
  <c r="V18" i="30"/>
  <c r="U18" i="30"/>
  <c r="T18" i="30"/>
  <c r="S18" i="30"/>
  <c r="R18" i="30"/>
  <c r="Q18" i="30"/>
  <c r="P18" i="30"/>
  <c r="O18" i="30"/>
  <c r="N18" i="30"/>
  <c r="B11" i="30"/>
  <c r="E30" i="30" s="1"/>
  <c r="B10" i="30"/>
  <c r="W24" i="30" s="1"/>
  <c r="B9" i="30"/>
  <c r="W23" i="30" s="1"/>
  <c r="B7" i="30"/>
  <c r="B8" i="30" s="1"/>
  <c r="R21" i="30" s="1"/>
  <c r="B3" i="30"/>
  <c r="R35" i="30"/>
  <c r="R54" i="30" s="1"/>
  <c r="R55" i="30" s="1"/>
  <c r="V35" i="30"/>
  <c r="V54" i="30" s="1"/>
  <c r="V55" i="30" s="1"/>
  <c r="AC35" i="30"/>
  <c r="S35" i="30"/>
  <c r="S54" i="30" s="1"/>
  <c r="S55" i="30" s="1"/>
  <c r="T36" i="30"/>
  <c r="U35" i="30"/>
  <c r="U56" i="30" s="1"/>
  <c r="U57" i="30" s="1"/>
  <c r="R36" i="30"/>
  <c r="T35" i="30"/>
  <c r="T56" i="30" s="1"/>
  <c r="T57" i="30" s="1"/>
  <c r="AA35" i="30"/>
  <c r="Y35" i="30"/>
  <c r="O35" i="30"/>
  <c r="M35" i="30"/>
  <c r="K35" i="30"/>
  <c r="I35" i="30"/>
  <c r="G35" i="30"/>
  <c r="E35" i="30"/>
  <c r="C35" i="30"/>
  <c r="AB35" i="30"/>
  <c r="Z35" i="30"/>
  <c r="X35" i="30"/>
  <c r="P35" i="30"/>
  <c r="P54" i="30" s="1"/>
  <c r="P55" i="30" s="1"/>
  <c r="N35" i="30"/>
  <c r="N54" i="30" s="1"/>
  <c r="N55" i="30" s="1"/>
  <c r="L35" i="30"/>
  <c r="J35" i="30"/>
  <c r="H35" i="30"/>
  <c r="F35" i="30"/>
  <c r="D35" i="30"/>
  <c r="B35" i="30"/>
  <c r="A163" i="28"/>
  <c r="A162" i="28"/>
  <c r="A152" i="28"/>
  <c r="A151" i="28"/>
  <c r="A163" i="27"/>
  <c r="A162" i="27"/>
  <c r="A152" i="27"/>
  <c r="A151" i="27"/>
  <c r="G30" i="27"/>
  <c r="H30" i="27"/>
  <c r="I30" i="27"/>
  <c r="J30" i="27"/>
  <c r="K30" i="27"/>
  <c r="L30" i="27"/>
  <c r="M30" i="27"/>
  <c r="B11" i="27"/>
  <c r="B30" i="27" s="1"/>
  <c r="B11" i="28"/>
  <c r="E30" i="28" s="1"/>
  <c r="B30" i="28"/>
  <c r="E26" i="28"/>
  <c r="B26" i="28"/>
  <c r="E24" i="28"/>
  <c r="D24" i="28"/>
  <c r="C24" i="28"/>
  <c r="B18" i="28"/>
  <c r="E103" i="28"/>
  <c r="G18" i="27"/>
  <c r="H18" i="27"/>
  <c r="I18" i="27"/>
  <c r="J18" i="27"/>
  <c r="K18" i="27"/>
  <c r="L18" i="27"/>
  <c r="M18" i="27"/>
  <c r="N26" i="27"/>
  <c r="N24" i="27"/>
  <c r="M26" i="27"/>
  <c r="L26" i="27"/>
  <c r="K26" i="27"/>
  <c r="J26" i="27"/>
  <c r="I26" i="27"/>
  <c r="H26" i="27"/>
  <c r="G26" i="27"/>
  <c r="F24" i="27"/>
  <c r="E24" i="27"/>
  <c r="D24" i="27"/>
  <c r="C24" i="27"/>
  <c r="B24" i="27"/>
  <c r="D103" i="28"/>
  <c r="C103" i="28"/>
  <c r="B103" i="28"/>
  <c r="E102" i="28"/>
  <c r="E18" i="28" s="1"/>
  <c r="D102" i="28"/>
  <c r="D18" i="28" s="1"/>
  <c r="C102" i="28"/>
  <c r="C18" i="28" s="1"/>
  <c r="B102" i="28"/>
  <c r="E100" i="28"/>
  <c r="D100" i="28"/>
  <c r="C100" i="28"/>
  <c r="B100" i="28"/>
  <c r="E99" i="28"/>
  <c r="D99" i="28"/>
  <c r="C99" i="28"/>
  <c r="B99" i="28"/>
  <c r="B35" i="28"/>
  <c r="B10" i="28"/>
  <c r="B24" i="28" s="1"/>
  <c r="B9" i="28"/>
  <c r="D23" i="28" s="1"/>
  <c r="B7" i="28"/>
  <c r="B8" i="28" s="1"/>
  <c r="B3" i="28"/>
  <c r="C35" i="28"/>
  <c r="E36" i="28"/>
  <c r="C36" i="28"/>
  <c r="D35" i="28"/>
  <c r="D36" i="28"/>
  <c r="E35" i="28"/>
  <c r="N35" i="27"/>
  <c r="H103" i="27"/>
  <c r="I103" i="27"/>
  <c r="J103" i="27"/>
  <c r="K103" i="27"/>
  <c r="L103" i="27"/>
  <c r="M103" i="27"/>
  <c r="B105" i="27" a="1"/>
  <c r="B105" i="27" s="1"/>
  <c r="B103" i="27" s="1"/>
  <c r="M102" i="27"/>
  <c r="L102" i="27"/>
  <c r="K102" i="27"/>
  <c r="J102" i="27"/>
  <c r="I102" i="27"/>
  <c r="H102" i="27"/>
  <c r="B10" i="27"/>
  <c r="H24" i="27" s="1"/>
  <c r="B9" i="27"/>
  <c r="K23" i="27" s="1"/>
  <c r="B7" i="27"/>
  <c r="B8" i="27" s="1"/>
  <c r="B3" i="27"/>
  <c r="F35" i="27"/>
  <c r="M35" i="27"/>
  <c r="E36" i="27"/>
  <c r="I35" i="27"/>
  <c r="G35" i="27"/>
  <c r="K35" i="27"/>
  <c r="H35" i="27"/>
  <c r="F36" i="27"/>
  <c r="E35" i="27"/>
  <c r="I36" i="27"/>
  <c r="J36" i="27"/>
  <c r="L36" i="27"/>
  <c r="J35" i="27"/>
  <c r="L35" i="27"/>
  <c r="F18" i="27"/>
  <c r="D35" i="27"/>
  <c r="C35" i="27"/>
  <c r="B35" i="27"/>
  <c r="C36" i="27"/>
  <c r="D36" i="27"/>
  <c r="AA48" i="30" l="1"/>
  <c r="AA46" i="30"/>
  <c r="AA44" i="30"/>
  <c r="AA43" i="30"/>
  <c r="AA42" i="30"/>
  <c r="AA45" i="30"/>
  <c r="AA41" i="30"/>
  <c r="AA40" i="30"/>
  <c r="AA39" i="30"/>
  <c r="AA47" i="30"/>
  <c r="AA34" i="30"/>
  <c r="AA37" i="30" s="1"/>
  <c r="C41" i="31"/>
  <c r="C46" i="31"/>
  <c r="C43" i="31"/>
  <c r="C45" i="31"/>
  <c r="C42" i="31"/>
  <c r="C39" i="31"/>
  <c r="C44" i="31"/>
  <c r="C47" i="31"/>
  <c r="C40" i="31"/>
  <c r="C48" i="31"/>
  <c r="C34" i="31"/>
  <c r="C37" i="31" s="1"/>
  <c r="C48" i="30"/>
  <c r="C46" i="30"/>
  <c r="C44" i="30"/>
  <c r="C45" i="30"/>
  <c r="C47" i="30"/>
  <c r="C42" i="30"/>
  <c r="C40" i="30"/>
  <c r="C43" i="30"/>
  <c r="C39" i="30"/>
  <c r="C41" i="30"/>
  <c r="C34" i="30"/>
  <c r="C37" i="30" s="1"/>
  <c r="S48" i="30"/>
  <c r="S46" i="30"/>
  <c r="S44" i="30"/>
  <c r="S42" i="30"/>
  <c r="S47" i="30"/>
  <c r="S41" i="30"/>
  <c r="S40" i="30"/>
  <c r="S39" i="30"/>
  <c r="S43" i="30"/>
  <c r="S45" i="30"/>
  <c r="S34" i="30"/>
  <c r="S37" i="30" s="1"/>
  <c r="K48" i="30"/>
  <c r="K46" i="30"/>
  <c r="K44" i="30"/>
  <c r="K47" i="30"/>
  <c r="K39" i="30"/>
  <c r="K43" i="30"/>
  <c r="K42" i="30"/>
  <c r="K40" i="30"/>
  <c r="K41" i="30"/>
  <c r="K45" i="30"/>
  <c r="K34" i="30"/>
  <c r="K37" i="30" s="1"/>
  <c r="L42" i="27"/>
  <c r="L45" i="27"/>
  <c r="L48" i="27"/>
  <c r="L40" i="27"/>
  <c r="L46" i="27"/>
  <c r="L41" i="27"/>
  <c r="L39" i="27"/>
  <c r="L47" i="27"/>
  <c r="L43" i="27"/>
  <c r="L44" i="27"/>
  <c r="L34" i="27"/>
  <c r="L37" i="27" s="1"/>
  <c r="C47" i="27"/>
  <c r="C39" i="27"/>
  <c r="C42" i="27"/>
  <c r="C45" i="27"/>
  <c r="C43" i="27"/>
  <c r="C46" i="27"/>
  <c r="C41" i="27"/>
  <c r="C48" i="27"/>
  <c r="C40" i="27"/>
  <c r="C44" i="27"/>
  <c r="C34" i="27"/>
  <c r="C37" i="27" s="1"/>
  <c r="J44" i="27"/>
  <c r="J47" i="27"/>
  <c r="J39" i="27"/>
  <c r="J42" i="27"/>
  <c r="J48" i="27"/>
  <c r="J40" i="27"/>
  <c r="J43" i="27"/>
  <c r="J41" i="27"/>
  <c r="J46" i="27"/>
  <c r="J45" i="27"/>
  <c r="J34" i="27"/>
  <c r="J37" i="27" s="1"/>
  <c r="E45" i="27"/>
  <c r="E48" i="27"/>
  <c r="E40" i="27"/>
  <c r="E43" i="27"/>
  <c r="E41" i="27"/>
  <c r="E44" i="27"/>
  <c r="E46" i="27"/>
  <c r="E42" i="27"/>
  <c r="E39" i="27"/>
  <c r="E47" i="27"/>
  <c r="E34" i="27"/>
  <c r="E37" i="27" s="1"/>
  <c r="C47" i="28"/>
  <c r="C39" i="28"/>
  <c r="C44" i="28"/>
  <c r="C41" i="28"/>
  <c r="C43" i="28"/>
  <c r="C48" i="28"/>
  <c r="C40" i="28"/>
  <c r="C46" i="28"/>
  <c r="C42" i="28"/>
  <c r="C45" i="28"/>
  <c r="C34" i="28"/>
  <c r="C37" i="28" s="1"/>
  <c r="Z48" i="30"/>
  <c r="Z45" i="30"/>
  <c r="Z42" i="30"/>
  <c r="Z47" i="30"/>
  <c r="Z41" i="30"/>
  <c r="Z39" i="30"/>
  <c r="Z43" i="30"/>
  <c r="Z46" i="30"/>
  <c r="Z44" i="30"/>
  <c r="Z40" i="30"/>
  <c r="Z34" i="30"/>
  <c r="Z37" i="30" s="1"/>
  <c r="J44" i="30"/>
  <c r="J42" i="30"/>
  <c r="J46" i="30"/>
  <c r="J43" i="30"/>
  <c r="J41" i="30"/>
  <c r="J39" i="30"/>
  <c r="J45" i="30"/>
  <c r="J40" i="30"/>
  <c r="J48" i="30"/>
  <c r="J47" i="30"/>
  <c r="J34" i="30"/>
  <c r="J37" i="30" s="1"/>
  <c r="N48" i="27"/>
  <c r="N40" i="27"/>
  <c r="N43" i="27"/>
  <c r="N46" i="27"/>
  <c r="N44" i="27"/>
  <c r="N47" i="27"/>
  <c r="N39" i="27"/>
  <c r="N41" i="27"/>
  <c r="N42" i="27"/>
  <c r="N45" i="27"/>
  <c r="N34" i="27"/>
  <c r="N37" i="27" s="1"/>
  <c r="D42" i="27"/>
  <c r="D45" i="27"/>
  <c r="D48" i="27"/>
  <c r="D40" i="27"/>
  <c r="D46" i="27"/>
  <c r="D41" i="27"/>
  <c r="D47" i="27"/>
  <c r="D44" i="27"/>
  <c r="D43" i="27"/>
  <c r="D39" i="27"/>
  <c r="D34" i="27"/>
  <c r="D37" i="27" s="1"/>
  <c r="B44" i="27"/>
  <c r="B47" i="27"/>
  <c r="B39" i="27"/>
  <c r="B42" i="27"/>
  <c r="B48" i="27"/>
  <c r="B40" i="27"/>
  <c r="B43" i="27"/>
  <c r="B46" i="27"/>
  <c r="B45" i="27"/>
  <c r="B41" i="27"/>
  <c r="B34" i="27"/>
  <c r="B37" i="27" s="1"/>
  <c r="I41" i="27"/>
  <c r="I44" i="27"/>
  <c r="I47" i="27"/>
  <c r="I39" i="27"/>
  <c r="I45" i="27"/>
  <c r="I48" i="27"/>
  <c r="I40" i="27"/>
  <c r="I43" i="27"/>
  <c r="I46" i="27"/>
  <c r="I42" i="27"/>
  <c r="I34" i="27"/>
  <c r="I37" i="27" s="1"/>
  <c r="E45" i="28"/>
  <c r="E46" i="28"/>
  <c r="E39" i="28"/>
  <c r="E47" i="28"/>
  <c r="E41" i="28"/>
  <c r="E42" i="28"/>
  <c r="E43" i="28"/>
  <c r="E40" i="28"/>
  <c r="E44" i="28"/>
  <c r="E48" i="28"/>
  <c r="E34" i="28"/>
  <c r="E37" i="28" s="1"/>
  <c r="AB48" i="30"/>
  <c r="AB46" i="30"/>
  <c r="AB44" i="30"/>
  <c r="AB42" i="30"/>
  <c r="AB47" i="30"/>
  <c r="AB45" i="30"/>
  <c r="AB43" i="30"/>
  <c r="AB40" i="30"/>
  <c r="AB39" i="30"/>
  <c r="AB41" i="30"/>
  <c r="AB34" i="30"/>
  <c r="AB37" i="30" s="1"/>
  <c r="Y47" i="30"/>
  <c r="Y45" i="30"/>
  <c r="Y43" i="30"/>
  <c r="Y48" i="30"/>
  <c r="Y46" i="30"/>
  <c r="Y44" i="30"/>
  <c r="Y42" i="30"/>
  <c r="Y41" i="30"/>
  <c r="Y39" i="30"/>
  <c r="Y40" i="30"/>
  <c r="Y34" i="30"/>
  <c r="Y37" i="30" s="1"/>
  <c r="I47" i="30"/>
  <c r="I45" i="30"/>
  <c r="I43" i="30"/>
  <c r="I48" i="30"/>
  <c r="I46" i="30"/>
  <c r="I44" i="30"/>
  <c r="I41" i="30"/>
  <c r="I39" i="30"/>
  <c r="I40" i="30"/>
  <c r="I42" i="30"/>
  <c r="I34" i="30"/>
  <c r="I37" i="30" s="1"/>
  <c r="M45" i="27"/>
  <c r="M48" i="27"/>
  <c r="M40" i="27"/>
  <c r="M43" i="27"/>
  <c r="M41" i="27"/>
  <c r="M44" i="27"/>
  <c r="M46" i="27"/>
  <c r="M47" i="27"/>
  <c r="M42" i="27"/>
  <c r="M39" i="27"/>
  <c r="M34" i="27"/>
  <c r="M37" i="27" s="1"/>
  <c r="R42" i="30"/>
  <c r="R46" i="30"/>
  <c r="R43" i="30"/>
  <c r="R48" i="30"/>
  <c r="R45" i="30"/>
  <c r="R41" i="30"/>
  <c r="R39" i="30"/>
  <c r="R47" i="30"/>
  <c r="R44" i="30"/>
  <c r="R40" i="30"/>
  <c r="R34" i="30"/>
  <c r="R37" i="30" s="1"/>
  <c r="X47" i="30"/>
  <c r="X45" i="30"/>
  <c r="X43" i="30"/>
  <c r="X48" i="30"/>
  <c r="X46" i="30"/>
  <c r="X44" i="30"/>
  <c r="X42" i="30"/>
  <c r="X39" i="30"/>
  <c r="X41" i="30"/>
  <c r="X40" i="30"/>
  <c r="X34" i="30"/>
  <c r="X37" i="30" s="1"/>
  <c r="P47" i="30"/>
  <c r="P45" i="30"/>
  <c r="P43" i="30"/>
  <c r="P48" i="30"/>
  <c r="P46" i="30"/>
  <c r="P44" i="30"/>
  <c r="P42" i="30"/>
  <c r="P41" i="30"/>
  <c r="P40" i="30"/>
  <c r="P39" i="30"/>
  <c r="P34" i="30"/>
  <c r="P37" i="30" s="1"/>
  <c r="H47" i="30"/>
  <c r="H45" i="30"/>
  <c r="H43" i="30"/>
  <c r="H48" i="30"/>
  <c r="H46" i="30"/>
  <c r="H44" i="30"/>
  <c r="H39" i="30"/>
  <c r="H40" i="30"/>
  <c r="H41" i="30"/>
  <c r="H42" i="30"/>
  <c r="H34" i="30"/>
  <c r="H37" i="30" s="1"/>
  <c r="B42" i="28"/>
  <c r="B47" i="28"/>
  <c r="B39" i="28"/>
  <c r="B44" i="28"/>
  <c r="B46" i="28"/>
  <c r="B43" i="28"/>
  <c r="B48" i="28"/>
  <c r="C161" i="28" s="1"/>
  <c r="B41" i="28"/>
  <c r="B40" i="28"/>
  <c r="B45" i="28"/>
  <c r="B34" i="28"/>
  <c r="B37" i="28" s="1"/>
  <c r="E55" i="35"/>
  <c r="L48" i="30"/>
  <c r="L46" i="30"/>
  <c r="L44" i="30"/>
  <c r="L42" i="30"/>
  <c r="L47" i="30"/>
  <c r="L45" i="30"/>
  <c r="L43" i="30"/>
  <c r="L39" i="30"/>
  <c r="L41" i="30"/>
  <c r="L40" i="30"/>
  <c r="L34" i="30"/>
  <c r="L37" i="30" s="1"/>
  <c r="G43" i="27"/>
  <c r="G46" i="27"/>
  <c r="G41" i="27"/>
  <c r="G47" i="27"/>
  <c r="G39" i="27"/>
  <c r="G42" i="27"/>
  <c r="G40" i="27"/>
  <c r="G48" i="27"/>
  <c r="G44" i="27"/>
  <c r="G45" i="27"/>
  <c r="G34" i="27"/>
  <c r="G37" i="27" s="1"/>
  <c r="F48" i="27"/>
  <c r="F40" i="27"/>
  <c r="F43" i="27"/>
  <c r="F46" i="27"/>
  <c r="F44" i="27"/>
  <c r="F47" i="27"/>
  <c r="F39" i="27"/>
  <c r="F45" i="27"/>
  <c r="F41" i="27"/>
  <c r="F42" i="27"/>
  <c r="F34" i="27"/>
  <c r="F37" i="27" s="1"/>
  <c r="O47" i="30"/>
  <c r="O45" i="30"/>
  <c r="O43" i="30"/>
  <c r="O48" i="30"/>
  <c r="O46" i="30"/>
  <c r="O44" i="30"/>
  <c r="O40" i="30"/>
  <c r="O41" i="30"/>
  <c r="O42" i="30"/>
  <c r="O39" i="30"/>
  <c r="O34" i="30"/>
  <c r="O37" i="30" s="1"/>
  <c r="G47" i="30"/>
  <c r="G45" i="30"/>
  <c r="G43" i="30"/>
  <c r="G46" i="30"/>
  <c r="G48" i="30"/>
  <c r="G42" i="30"/>
  <c r="G41" i="30"/>
  <c r="G40" i="30"/>
  <c r="G39" i="30"/>
  <c r="G44" i="30"/>
  <c r="G34" i="30"/>
  <c r="G37" i="30" s="1"/>
  <c r="K47" i="27"/>
  <c r="K39" i="27"/>
  <c r="K42" i="27"/>
  <c r="K45" i="27"/>
  <c r="K43" i="27"/>
  <c r="K46" i="27"/>
  <c r="K44" i="27"/>
  <c r="K48" i="27"/>
  <c r="K41" i="27"/>
  <c r="K40" i="27"/>
  <c r="K34" i="27"/>
  <c r="K37" i="27" s="1"/>
  <c r="E53" i="35"/>
  <c r="C48" i="35"/>
  <c r="C46" i="35"/>
  <c r="C44" i="35"/>
  <c r="C42" i="35"/>
  <c r="C40" i="35"/>
  <c r="C47" i="35"/>
  <c r="C45" i="35"/>
  <c r="C39" i="35"/>
  <c r="C43" i="35"/>
  <c r="C41" i="35"/>
  <c r="C34" i="35"/>
  <c r="C37" i="35" s="1"/>
  <c r="T48" i="30"/>
  <c r="T46" i="30"/>
  <c r="T44" i="30"/>
  <c r="T42" i="30"/>
  <c r="T47" i="30"/>
  <c r="T45" i="30"/>
  <c r="T43" i="30"/>
  <c r="T41" i="30"/>
  <c r="T40" i="30"/>
  <c r="T39" i="30"/>
  <c r="T34" i="30"/>
  <c r="T37" i="30" s="1"/>
  <c r="B47" i="30"/>
  <c r="B44" i="30"/>
  <c r="B41" i="30"/>
  <c r="B39" i="30"/>
  <c r="B42" i="30"/>
  <c r="B45" i="30"/>
  <c r="B40" i="30"/>
  <c r="B48" i="30"/>
  <c r="B46" i="30"/>
  <c r="B43" i="30"/>
  <c r="B34" i="30"/>
  <c r="B37" i="30" s="1"/>
  <c r="F43" i="30"/>
  <c r="F42" i="30"/>
  <c r="F48" i="30"/>
  <c r="F40" i="30"/>
  <c r="F44" i="30"/>
  <c r="F45" i="30"/>
  <c r="F41" i="30"/>
  <c r="F46" i="30"/>
  <c r="F47" i="30"/>
  <c r="F39" i="30"/>
  <c r="F34" i="30"/>
  <c r="F37" i="30" s="1"/>
  <c r="D48" i="35"/>
  <c r="D46" i="35"/>
  <c r="D44" i="35"/>
  <c r="D42" i="35"/>
  <c r="D40" i="35"/>
  <c r="D47" i="35"/>
  <c r="D45" i="35"/>
  <c r="D43" i="35"/>
  <c r="D41" i="35"/>
  <c r="D39" i="35"/>
  <c r="D34" i="35"/>
  <c r="D37" i="35" s="1"/>
  <c r="D48" i="30"/>
  <c r="D46" i="30"/>
  <c r="D44" i="30"/>
  <c r="D42" i="30"/>
  <c r="D47" i="30"/>
  <c r="D45" i="30"/>
  <c r="D43" i="30"/>
  <c r="D41" i="30"/>
  <c r="D39" i="30"/>
  <c r="D40" i="30"/>
  <c r="D34" i="30"/>
  <c r="D37" i="30" s="1"/>
  <c r="D46" i="31"/>
  <c r="D43" i="31"/>
  <c r="D48" i="31"/>
  <c r="D40" i="31"/>
  <c r="D42" i="31"/>
  <c r="D47" i="31"/>
  <c r="D39" i="31"/>
  <c r="D45" i="31"/>
  <c r="D44" i="31"/>
  <c r="D41" i="31"/>
  <c r="D34" i="31"/>
  <c r="D37" i="31" s="1"/>
  <c r="AC48" i="30"/>
  <c r="AC46" i="30"/>
  <c r="AC44" i="30"/>
  <c r="AC42" i="30"/>
  <c r="AC47" i="30"/>
  <c r="AC45" i="30"/>
  <c r="AC43" i="30"/>
  <c r="AC40" i="30"/>
  <c r="AC41" i="30"/>
  <c r="AC39" i="30"/>
  <c r="AC34" i="30"/>
  <c r="AC37" i="30" s="1"/>
  <c r="M48" i="30"/>
  <c r="M46" i="30"/>
  <c r="M44" i="30"/>
  <c r="M42" i="30"/>
  <c r="M47" i="30"/>
  <c r="M45" i="30"/>
  <c r="M43" i="30"/>
  <c r="M40" i="30"/>
  <c r="M41" i="30"/>
  <c r="M39" i="30"/>
  <c r="M34" i="30"/>
  <c r="M37" i="30" s="1"/>
  <c r="E48" i="30"/>
  <c r="E46" i="30"/>
  <c r="E44" i="30"/>
  <c r="E47" i="30"/>
  <c r="E45" i="30"/>
  <c r="E43" i="30"/>
  <c r="E40" i="30"/>
  <c r="E41" i="30"/>
  <c r="E39" i="30"/>
  <c r="E42" i="30"/>
  <c r="E34" i="30"/>
  <c r="E37" i="30" s="1"/>
  <c r="B44" i="31"/>
  <c r="B41" i="31"/>
  <c r="B46" i="31"/>
  <c r="B48" i="31"/>
  <c r="B40" i="31"/>
  <c r="B45" i="31"/>
  <c r="B47" i="31"/>
  <c r="B43" i="31"/>
  <c r="B42" i="31"/>
  <c r="B39" i="31"/>
  <c r="B34" i="31"/>
  <c r="B37" i="31" s="1"/>
  <c r="D44" i="28"/>
  <c r="D41" i="28"/>
  <c r="D46" i="28"/>
  <c r="D48" i="28"/>
  <c r="D40" i="28"/>
  <c r="D45" i="28"/>
  <c r="D43" i="28"/>
  <c r="D47" i="28"/>
  <c r="D42" i="28"/>
  <c r="D39" i="28"/>
  <c r="D34" i="28"/>
  <c r="D37" i="28" s="1"/>
  <c r="H46" i="27"/>
  <c r="H41" i="27"/>
  <c r="H44" i="27"/>
  <c r="H42" i="27"/>
  <c r="H45" i="27"/>
  <c r="H48" i="27"/>
  <c r="H39" i="27"/>
  <c r="H47" i="27"/>
  <c r="H40" i="27"/>
  <c r="H43" i="27"/>
  <c r="H34" i="27"/>
  <c r="H37" i="27" s="1"/>
  <c r="F23" i="30"/>
  <c r="W56" i="30"/>
  <c r="W57" i="30" s="1"/>
  <c r="D30" i="27"/>
  <c r="B23" i="31"/>
  <c r="C23" i="31"/>
  <c r="C30" i="31"/>
  <c r="V56" i="30"/>
  <c r="V57" i="30" s="1"/>
  <c r="R56" i="30"/>
  <c r="R57" i="30" s="1"/>
  <c r="K24" i="27"/>
  <c r="B23" i="28"/>
  <c r="U24" i="30"/>
  <c r="Y23" i="30"/>
  <c r="G23" i="30"/>
  <c r="X30" i="30"/>
  <c r="Z23" i="30"/>
  <c r="O24" i="30"/>
  <c r="B57" i="35"/>
  <c r="B55" i="35"/>
  <c r="E30" i="35"/>
  <c r="B53" i="35"/>
  <c r="B51" i="35"/>
  <c r="B36" i="35"/>
  <c r="C55" i="35"/>
  <c r="C57" i="35"/>
  <c r="E23" i="35"/>
  <c r="C53" i="35"/>
  <c r="C51" i="35"/>
  <c r="D23" i="35"/>
  <c r="L23" i="27"/>
  <c r="H99" i="27"/>
  <c r="F103" i="27"/>
  <c r="N103" i="27"/>
  <c r="D103" i="27"/>
  <c r="K99" i="27"/>
  <c r="E103" i="27"/>
  <c r="G24" i="27"/>
  <c r="E99" i="27"/>
  <c r="J24" i="27"/>
  <c r="F30" i="27"/>
  <c r="C23" i="27"/>
  <c r="B99" i="27"/>
  <c r="M99" i="27"/>
  <c r="G103" i="27"/>
  <c r="E23" i="27"/>
  <c r="I24" i="27"/>
  <c r="N30" i="27"/>
  <c r="G23" i="27"/>
  <c r="J99" i="27"/>
  <c r="C103" i="27"/>
  <c r="M23" i="27"/>
  <c r="C30" i="27"/>
  <c r="L99" i="27"/>
  <c r="B23" i="27"/>
  <c r="N23" i="27"/>
  <c r="L24" i="27"/>
  <c r="E30" i="27"/>
  <c r="B106" i="27"/>
  <c r="L100" i="27" s="1"/>
  <c r="H23" i="27"/>
  <c r="N99" i="27"/>
  <c r="M24" i="27"/>
  <c r="C99" i="27"/>
  <c r="J23" i="27"/>
  <c r="D30" i="28"/>
  <c r="C30" i="28"/>
  <c r="Q36" i="30"/>
  <c r="S24" i="30"/>
  <c r="W36" i="30"/>
  <c r="P24" i="30"/>
  <c r="U54" i="30"/>
  <c r="U55" i="30" s="1"/>
  <c r="T24" i="30"/>
  <c r="V24" i="30"/>
  <c r="P56" i="30"/>
  <c r="P57" i="30" s="1"/>
  <c r="S56" i="30"/>
  <c r="S57" i="30" s="1"/>
  <c r="N56" i="30"/>
  <c r="N57" i="30" s="1"/>
  <c r="Q54" i="30"/>
  <c r="Q55" i="30" s="1"/>
  <c r="E103" i="30"/>
  <c r="C21" i="35"/>
  <c r="B21" i="35"/>
  <c r="D21" i="35"/>
  <c r="E21" i="35"/>
  <c r="AA103" i="30"/>
  <c r="S99" i="30"/>
  <c r="C99" i="30"/>
  <c r="P103" i="30"/>
  <c r="H103" i="30"/>
  <c r="AB99" i="30"/>
  <c r="L99" i="30"/>
  <c r="K103" i="30"/>
  <c r="C103" i="30"/>
  <c r="Q99" i="30"/>
  <c r="B106" i="30"/>
  <c r="Z99" i="30"/>
  <c r="J99" i="30"/>
  <c r="Y103" i="30"/>
  <c r="O99" i="30"/>
  <c r="AB103" i="30"/>
  <c r="N103" i="30"/>
  <c r="F103" i="30"/>
  <c r="X99" i="30"/>
  <c r="H99" i="30"/>
  <c r="I103" i="30"/>
  <c r="AC99" i="30"/>
  <c r="M99" i="30"/>
  <c r="V99" i="30"/>
  <c r="F99" i="30"/>
  <c r="Q103" i="30"/>
  <c r="AA99" i="30"/>
  <c r="K99" i="30"/>
  <c r="Z103" i="30"/>
  <c r="L103" i="30"/>
  <c r="D103" i="30"/>
  <c r="T99" i="30"/>
  <c r="D99" i="30"/>
  <c r="O103" i="30"/>
  <c r="G103" i="30"/>
  <c r="Y99" i="30"/>
  <c r="I99" i="30"/>
  <c r="R99" i="30"/>
  <c r="B99" i="30"/>
  <c r="X103" i="30"/>
  <c r="M103" i="30"/>
  <c r="W99" i="30"/>
  <c r="B103" i="30"/>
  <c r="U99" i="30"/>
  <c r="G99" i="30"/>
  <c r="P99" i="30"/>
  <c r="E99" i="30"/>
  <c r="J103" i="30"/>
  <c r="N99" i="30"/>
  <c r="B24" i="31"/>
  <c r="D24" i="31"/>
  <c r="V36" i="30"/>
  <c r="N36" i="30"/>
  <c r="U36" i="30"/>
  <c r="D55" i="35"/>
  <c r="D57" i="35"/>
  <c r="D59" i="35"/>
  <c r="D53" i="35"/>
  <c r="D99" i="27"/>
  <c r="G99" i="27"/>
  <c r="D23" i="27"/>
  <c r="I23" i="27"/>
  <c r="T54" i="30"/>
  <c r="T55" i="30" s="1"/>
  <c r="O56" i="30"/>
  <c r="O57" i="30" s="1"/>
  <c r="O54" i="30"/>
  <c r="O55" i="30" s="1"/>
  <c r="D51" i="35"/>
  <c r="F99" i="27"/>
  <c r="I99" i="27"/>
  <c r="F23" i="27"/>
  <c r="C23" i="28"/>
  <c r="AA23" i="30"/>
  <c r="Q23" i="30"/>
  <c r="E36" i="35"/>
  <c r="E59" i="35"/>
  <c r="C59" i="35"/>
  <c r="E23" i="28"/>
  <c r="D23" i="30"/>
  <c r="N24" i="30"/>
  <c r="J23" i="30"/>
  <c r="R24" i="30"/>
  <c r="T23" i="30"/>
  <c r="V23" i="30"/>
  <c r="O23" i="30"/>
  <c r="Y30" i="30"/>
  <c r="Q30" i="30"/>
  <c r="B30" i="30"/>
  <c r="AB30" i="30"/>
  <c r="I30" i="30"/>
  <c r="AC30" i="30"/>
  <c r="F30" i="30"/>
  <c r="Z30" i="30"/>
  <c r="M30" i="30"/>
  <c r="K30" i="30"/>
  <c r="H30" i="30"/>
  <c r="D30" i="30"/>
  <c r="G30" i="30"/>
  <c r="J30" i="30"/>
  <c r="AA30" i="30"/>
  <c r="C30" i="30"/>
  <c r="L30" i="30"/>
  <c r="R22" i="30"/>
  <c r="T21" i="30"/>
  <c r="C21" i="30"/>
  <c r="M21" i="30"/>
  <c r="AA21" i="30"/>
  <c r="V21" i="30"/>
  <c r="H23" i="30"/>
  <c r="X23" i="30"/>
  <c r="U23" i="30"/>
  <c r="G21" i="30"/>
  <c r="Q21" i="30"/>
  <c r="H21" i="30"/>
  <c r="X21" i="30"/>
  <c r="AC23" i="30"/>
  <c r="S21" i="30"/>
  <c r="O21" i="30"/>
  <c r="J21" i="30"/>
  <c r="S23" i="30"/>
  <c r="L23" i="30"/>
  <c r="AB23" i="30"/>
  <c r="M23" i="30"/>
  <c r="W21" i="30"/>
  <c r="Y21" i="30"/>
  <c r="L21" i="30"/>
  <c r="AB21" i="30"/>
  <c r="K23" i="30"/>
  <c r="N23" i="30"/>
  <c r="I23" i="30"/>
  <c r="B21" i="30"/>
  <c r="AC21" i="30"/>
  <c r="N21" i="30"/>
  <c r="Z21" i="30"/>
  <c r="C23" i="30"/>
  <c r="P23" i="30"/>
  <c r="E23" i="30"/>
  <c r="D21" i="30"/>
  <c r="E21" i="30"/>
  <c r="P21" i="30"/>
  <c r="I21" i="30"/>
  <c r="U21" i="30"/>
  <c r="B23" i="30"/>
  <c r="R23" i="30"/>
  <c r="F21" i="30"/>
  <c r="K21" i="30"/>
  <c r="D21" i="31"/>
  <c r="C21" i="31"/>
  <c r="B21" i="31"/>
  <c r="N21" i="27"/>
  <c r="J21" i="27"/>
  <c r="M21" i="27"/>
  <c r="H21" i="27"/>
  <c r="K21" i="27"/>
  <c r="F21" i="27"/>
  <c r="I21" i="27"/>
  <c r="D21" i="27"/>
  <c r="G21" i="27"/>
  <c r="B21" i="27"/>
  <c r="E21" i="27"/>
  <c r="C21" i="27"/>
  <c r="L21" i="27"/>
  <c r="C21" i="28"/>
  <c r="D21" i="28"/>
  <c r="B21" i="28"/>
  <c r="E21" i="28"/>
  <c r="U48" i="30" l="1"/>
  <c r="U46" i="30"/>
  <c r="U44" i="30"/>
  <c r="U42" i="30"/>
  <c r="U47" i="30"/>
  <c r="U45" i="30"/>
  <c r="U43" i="30"/>
  <c r="U40" i="30"/>
  <c r="U41" i="30"/>
  <c r="U39" i="30"/>
  <c r="U34" i="30"/>
  <c r="U37" i="30" s="1"/>
  <c r="N45" i="30"/>
  <c r="N40" i="30"/>
  <c r="N46" i="30"/>
  <c r="N47" i="30"/>
  <c r="N48" i="30"/>
  <c r="N43" i="30"/>
  <c r="N42" i="30"/>
  <c r="N41" i="30"/>
  <c r="N44" i="30"/>
  <c r="N39" i="30"/>
  <c r="N34" i="30"/>
  <c r="N37" i="30" s="1"/>
  <c r="B48" i="35"/>
  <c r="B43" i="35"/>
  <c r="C156" i="35" s="1"/>
  <c r="B42" i="35"/>
  <c r="B46" i="35"/>
  <c r="B41" i="35"/>
  <c r="B40" i="35"/>
  <c r="B45" i="35"/>
  <c r="B39" i="35"/>
  <c r="C152" i="35" s="1"/>
  <c r="B47" i="35"/>
  <c r="B44" i="35"/>
  <c r="B34" i="35"/>
  <c r="B37" i="35" s="1"/>
  <c r="V47" i="30"/>
  <c r="V44" i="30"/>
  <c r="V40" i="30"/>
  <c r="V43" i="30"/>
  <c r="V42" i="30"/>
  <c r="V39" i="30"/>
  <c r="V45" i="30"/>
  <c r="V41" i="30"/>
  <c r="V46" i="30"/>
  <c r="V48" i="30"/>
  <c r="V34" i="30"/>
  <c r="V37" i="30" s="1"/>
  <c r="W47" i="30"/>
  <c r="W45" i="30"/>
  <c r="W43" i="30"/>
  <c r="W44" i="30"/>
  <c r="W40" i="30"/>
  <c r="W42" i="30"/>
  <c r="W39" i="30"/>
  <c r="W48" i="30"/>
  <c r="W46" i="30"/>
  <c r="W41" i="30"/>
  <c r="W34" i="30"/>
  <c r="W37" i="30" s="1"/>
  <c r="E48" i="35"/>
  <c r="E46" i="35"/>
  <c r="E44" i="35"/>
  <c r="E42" i="35"/>
  <c r="E40" i="35"/>
  <c r="E47" i="35"/>
  <c r="E45" i="35"/>
  <c r="E43" i="35"/>
  <c r="E41" i="35"/>
  <c r="E39" i="35"/>
  <c r="E34" i="35"/>
  <c r="E37" i="35" s="1"/>
  <c r="Q47" i="30"/>
  <c r="Q45" i="30"/>
  <c r="Q43" i="30"/>
  <c r="Q48" i="30"/>
  <c r="Q46" i="30"/>
  <c r="Q44" i="30"/>
  <c r="C157" i="30" s="1"/>
  <c r="Q42" i="30"/>
  <c r="Q41" i="30"/>
  <c r="Q39" i="30"/>
  <c r="Q40" i="30"/>
  <c r="Q34" i="30"/>
  <c r="Q37" i="30" s="1"/>
  <c r="C154" i="28"/>
  <c r="C160" i="35"/>
  <c r="C155" i="28"/>
  <c r="C159" i="28"/>
  <c r="C152" i="28"/>
  <c r="C156" i="28"/>
  <c r="C159" i="30"/>
  <c r="C160" i="28"/>
  <c r="C157" i="28"/>
  <c r="I100" i="27"/>
  <c r="G100" i="27"/>
  <c r="B100" i="27"/>
  <c r="G102" i="27"/>
  <c r="B102" i="27"/>
  <c r="B18" i="27" s="1"/>
  <c r="E102" i="27"/>
  <c r="E18" i="27" s="1"/>
  <c r="N100" i="27"/>
  <c r="E100" i="27"/>
  <c r="K100" i="27"/>
  <c r="J100" i="27"/>
  <c r="C100" i="27"/>
  <c r="H100" i="27"/>
  <c r="N102" i="27"/>
  <c r="N18" i="27" s="1"/>
  <c r="C102" i="27"/>
  <c r="C18" i="27" s="1"/>
  <c r="F100" i="27"/>
  <c r="D102" i="27"/>
  <c r="D18" i="27" s="1"/>
  <c r="M100" i="27"/>
  <c r="D100" i="27"/>
  <c r="F102" i="27"/>
  <c r="E25" i="35"/>
  <c r="E22" i="35"/>
  <c r="E26" i="35" s="1"/>
  <c r="D25" i="35"/>
  <c r="D27" i="35" s="1"/>
  <c r="D22" i="35"/>
  <c r="C25" i="35"/>
  <c r="C22" i="35"/>
  <c r="C26" i="35" s="1"/>
  <c r="B25" i="35"/>
  <c r="B22" i="35"/>
  <c r="R25" i="30"/>
  <c r="R27" i="30" s="1"/>
  <c r="B169" i="30"/>
  <c r="B170" i="30" s="1"/>
  <c r="AC102" i="30"/>
  <c r="AC18" i="30" s="1"/>
  <c r="K102" i="30"/>
  <c r="K18" i="30" s="1"/>
  <c r="C102" i="30"/>
  <c r="C18" i="30" s="1"/>
  <c r="Q100" i="30"/>
  <c r="AB102" i="30"/>
  <c r="H102" i="30"/>
  <c r="H18" i="30" s="1"/>
  <c r="AB100" i="30"/>
  <c r="L100" i="30"/>
  <c r="O100" i="30"/>
  <c r="Z102" i="30"/>
  <c r="Z100" i="30"/>
  <c r="J100" i="30"/>
  <c r="AA102" i="30"/>
  <c r="I102" i="30"/>
  <c r="I18" i="30" s="1"/>
  <c r="AC100" i="30"/>
  <c r="M100" i="30"/>
  <c r="X102" i="30"/>
  <c r="F102" i="30"/>
  <c r="F18" i="30" s="1"/>
  <c r="X100" i="30"/>
  <c r="H100" i="30"/>
  <c r="Y102" i="30"/>
  <c r="AA100" i="30"/>
  <c r="K100" i="30"/>
  <c r="P102" i="30"/>
  <c r="V100" i="30"/>
  <c r="F100" i="30"/>
  <c r="Q102" i="30"/>
  <c r="G102" i="30"/>
  <c r="G18" i="30" s="1"/>
  <c r="Y100" i="30"/>
  <c r="I100" i="30"/>
  <c r="N102" i="30"/>
  <c r="D102" i="30"/>
  <c r="D18" i="30" s="1"/>
  <c r="T100" i="30"/>
  <c r="D100" i="30"/>
  <c r="O102" i="30"/>
  <c r="W100" i="30"/>
  <c r="G100" i="30"/>
  <c r="L102" i="30"/>
  <c r="L18" i="30" s="1"/>
  <c r="R100" i="30"/>
  <c r="B100" i="30"/>
  <c r="S100" i="30"/>
  <c r="N100" i="30"/>
  <c r="E100" i="30"/>
  <c r="C100" i="30"/>
  <c r="M102" i="30"/>
  <c r="M18" i="30" s="1"/>
  <c r="J102" i="30"/>
  <c r="J18" i="30" s="1"/>
  <c r="E102" i="30"/>
  <c r="E18" i="30" s="1"/>
  <c r="B102" i="30"/>
  <c r="B18" i="30" s="1"/>
  <c r="P100" i="30"/>
  <c r="U100" i="30"/>
  <c r="B25" i="30"/>
  <c r="B22" i="30"/>
  <c r="F22" i="30"/>
  <c r="F25" i="30"/>
  <c r="V25" i="30"/>
  <c r="V27" i="30" s="1"/>
  <c r="V22" i="30"/>
  <c r="X25" i="30"/>
  <c r="X22" i="30"/>
  <c r="H25" i="30"/>
  <c r="H22" i="30"/>
  <c r="M25" i="30"/>
  <c r="M22" i="30"/>
  <c r="K25" i="30"/>
  <c r="K22" i="30"/>
  <c r="AA25" i="30"/>
  <c r="AA22" i="30"/>
  <c r="U25" i="30"/>
  <c r="U27" i="30" s="1"/>
  <c r="U22" i="30"/>
  <c r="Z22" i="30"/>
  <c r="Z25" i="30"/>
  <c r="AB25" i="30"/>
  <c r="AB22" i="30"/>
  <c r="J25" i="30"/>
  <c r="J22" i="30"/>
  <c r="Q22" i="30"/>
  <c r="Q25" i="30"/>
  <c r="C25" i="30"/>
  <c r="C22" i="30"/>
  <c r="I22" i="30"/>
  <c r="I25" i="30"/>
  <c r="L22" i="30"/>
  <c r="L25" i="30"/>
  <c r="O22" i="30"/>
  <c r="O25" i="30"/>
  <c r="O27" i="30" s="1"/>
  <c r="G22" i="30"/>
  <c r="G25" i="30"/>
  <c r="T25" i="30"/>
  <c r="T27" i="30" s="1"/>
  <c r="T22" i="30"/>
  <c r="D25" i="30"/>
  <c r="D22" i="30"/>
  <c r="P25" i="30"/>
  <c r="P27" i="30" s="1"/>
  <c r="P22" i="30"/>
  <c r="N25" i="30"/>
  <c r="N27" i="30" s="1"/>
  <c r="N22" i="30"/>
  <c r="Y22" i="30"/>
  <c r="Y25" i="30"/>
  <c r="S25" i="30"/>
  <c r="S27" i="30" s="1"/>
  <c r="S22" i="30"/>
  <c r="E22" i="30"/>
  <c r="E25" i="30"/>
  <c r="AC22" i="30"/>
  <c r="AC25" i="30"/>
  <c r="AC27" i="30" s="1"/>
  <c r="AC28" i="30" s="1"/>
  <c r="W22" i="30"/>
  <c r="W25" i="30"/>
  <c r="W27" i="30" s="1"/>
  <c r="D25" i="31"/>
  <c r="D22" i="31"/>
  <c r="D26" i="31" s="1"/>
  <c r="C22" i="31"/>
  <c r="C26" i="31" s="1"/>
  <c r="C25" i="31"/>
  <c r="B22" i="31"/>
  <c r="B25" i="31"/>
  <c r="B27" i="31" s="1"/>
  <c r="K25" i="27"/>
  <c r="K27" i="27" s="1"/>
  <c r="K22" i="27"/>
  <c r="C25" i="27"/>
  <c r="C22" i="27"/>
  <c r="M22" i="27"/>
  <c r="M25" i="27"/>
  <c r="M27" i="27" s="1"/>
  <c r="J25" i="27"/>
  <c r="J27" i="27" s="1"/>
  <c r="J22" i="27"/>
  <c r="D25" i="27"/>
  <c r="D22" i="27"/>
  <c r="I22" i="27"/>
  <c r="I25" i="27"/>
  <c r="I27" i="27" s="1"/>
  <c r="F22" i="27"/>
  <c r="F25" i="27"/>
  <c r="L22" i="27"/>
  <c r="L25" i="27"/>
  <c r="L27" i="27" s="1"/>
  <c r="H25" i="27"/>
  <c r="H27" i="27" s="1"/>
  <c r="H22" i="27"/>
  <c r="E25" i="27"/>
  <c r="E22" i="27"/>
  <c r="B25" i="27"/>
  <c r="B22" i="27"/>
  <c r="G22" i="27"/>
  <c r="G25" i="27"/>
  <c r="G27" i="27" s="1"/>
  <c r="N22" i="27"/>
  <c r="N25" i="27"/>
  <c r="N27" i="27" s="1"/>
  <c r="N28" i="27" s="1"/>
  <c r="B22" i="28"/>
  <c r="B25" i="28"/>
  <c r="B27" i="28" s="1"/>
  <c r="D25" i="28"/>
  <c r="D22" i="28"/>
  <c r="D26" i="28" s="1"/>
  <c r="E25" i="28"/>
  <c r="E27" i="28" s="1"/>
  <c r="E28" i="28" s="1"/>
  <c r="E22" i="28"/>
  <c r="C25" i="28"/>
  <c r="C22" i="28"/>
  <c r="C26" i="28" s="1"/>
  <c r="C161" i="35" l="1"/>
  <c r="C154" i="30"/>
  <c r="C161" i="30"/>
  <c r="C152" i="30"/>
  <c r="C156" i="30"/>
  <c r="C155" i="30"/>
  <c r="C160" i="30"/>
  <c r="C157" i="35"/>
  <c r="R28" i="30"/>
  <c r="C154" i="35"/>
  <c r="C155" i="35"/>
  <c r="C159" i="35"/>
  <c r="B28" i="27"/>
  <c r="C27" i="31"/>
  <c r="C27" i="35"/>
  <c r="E27" i="35"/>
  <c r="C27" i="28"/>
  <c r="B28" i="35"/>
  <c r="B26" i="35"/>
  <c r="B27" i="35" s="1"/>
  <c r="E28" i="35"/>
  <c r="D28" i="35"/>
  <c r="C28" i="35"/>
  <c r="I28" i="27"/>
  <c r="L28" i="27"/>
  <c r="V28" i="30"/>
  <c r="U28" i="30"/>
  <c r="J26" i="30"/>
  <c r="J27" i="30" s="1"/>
  <c r="L28" i="30"/>
  <c r="X28" i="30"/>
  <c r="AA28" i="30"/>
  <c r="Y26" i="30"/>
  <c r="Y27" i="30" s="1"/>
  <c r="K28" i="30"/>
  <c r="I26" i="30"/>
  <c r="I27" i="30" s="1"/>
  <c r="N28" i="30"/>
  <c r="L26" i="30"/>
  <c r="L27" i="30" s="1"/>
  <c r="P28" i="30"/>
  <c r="E28" i="30"/>
  <c r="C26" i="30"/>
  <c r="C27" i="30" s="1"/>
  <c r="O28" i="30"/>
  <c r="M26" i="30"/>
  <c r="M27" i="30" s="1"/>
  <c r="AA26" i="30"/>
  <c r="AA27" i="30" s="1"/>
  <c r="B28" i="30"/>
  <c r="M28" i="30"/>
  <c r="K26" i="30"/>
  <c r="K27" i="30" s="1"/>
  <c r="I28" i="30"/>
  <c r="G26" i="30"/>
  <c r="G27" i="30" s="1"/>
  <c r="Z26" i="30"/>
  <c r="Z27" i="30" s="1"/>
  <c r="AB28" i="30"/>
  <c r="F26" i="30"/>
  <c r="F27" i="30" s="1"/>
  <c r="H28" i="30"/>
  <c r="D26" i="30"/>
  <c r="D27" i="30" s="1"/>
  <c r="F28" i="30"/>
  <c r="E26" i="30"/>
  <c r="E27" i="30" s="1"/>
  <c r="G28" i="30"/>
  <c r="W28" i="30"/>
  <c r="J28" i="30"/>
  <c r="H26" i="30"/>
  <c r="H27" i="30" s="1"/>
  <c r="D28" i="30"/>
  <c r="B26" i="30"/>
  <c r="B27" i="30" s="1"/>
  <c r="Z28" i="30"/>
  <c r="X26" i="30"/>
  <c r="X27" i="30" s="1"/>
  <c r="Y28" i="30"/>
  <c r="AB26" i="30"/>
  <c r="AB27" i="30" s="1"/>
  <c r="C28" i="30"/>
  <c r="T28" i="30"/>
  <c r="Q28" i="30"/>
  <c r="S28" i="30"/>
  <c r="Q26" i="30"/>
  <c r="Q27" i="30" s="1"/>
  <c r="C28" i="31"/>
  <c r="B28" i="31"/>
  <c r="D27" i="31"/>
  <c r="D28" i="31"/>
  <c r="C28" i="27"/>
  <c r="D28" i="27"/>
  <c r="B26" i="27"/>
  <c r="B27" i="27" s="1"/>
  <c r="F26" i="27"/>
  <c r="F27" i="27" s="1"/>
  <c r="H28" i="27"/>
  <c r="E26" i="27"/>
  <c r="E27" i="27" s="1"/>
  <c r="G28" i="27"/>
  <c r="E28" i="27"/>
  <c r="C26" i="27"/>
  <c r="C27" i="27" s="1"/>
  <c r="K28" i="27"/>
  <c r="J28" i="27"/>
  <c r="D26" i="27"/>
  <c r="D27" i="27" s="1"/>
  <c r="F28" i="27"/>
  <c r="M28" i="27"/>
  <c r="D28" i="28"/>
  <c r="C28" i="28"/>
  <c r="B28" i="28"/>
  <c r="D2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russell.w.scott</author>
  </authors>
  <commentList>
    <comment ref="A30" authorId="0" shapeId="0" xr:uid="{00000000-0006-0000-02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99" authorId="1" shapeId="0" xr:uid="{00000000-0006-0000-0200-000002000000}">
      <text>
        <r>
          <rPr>
            <sz val="8"/>
            <color indexed="81"/>
            <rFont val="Tahoma"/>
            <family val="2"/>
          </rPr>
          <t>2 Standard Deviation based on performance Standard</t>
        </r>
      </text>
    </comment>
    <comment ref="A100" authorId="1" shapeId="0" xr:uid="{00000000-0006-0000-0200-000003000000}">
      <text>
        <r>
          <rPr>
            <sz val="8"/>
            <color indexed="81"/>
            <rFont val="Tahoma"/>
            <family val="2"/>
          </rPr>
          <t>1 Standard Deviation based on performance Standard</t>
        </r>
      </text>
    </comment>
    <comment ref="A109" authorId="0" shapeId="0" xr:uid="{00000000-0006-0000-0200-000004000000}">
      <text>
        <r>
          <rPr>
            <b/>
            <sz val="8"/>
            <color indexed="81"/>
            <rFont val="Tahoma"/>
            <family val="2"/>
          </rPr>
          <t>Values from 5 PAA matrix</t>
        </r>
      </text>
    </comment>
    <comment ref="E144" authorId="2" shapeId="0" xr:uid="{00000000-0006-0000-0200-000005000000}">
      <text>
        <r>
          <rPr>
            <b/>
            <sz val="8"/>
            <color indexed="81"/>
            <rFont val="Tahoma"/>
            <family val="2"/>
          </rPr>
          <t>russell.w.scott:</t>
        </r>
        <r>
          <rPr>
            <sz val="8"/>
            <color indexed="81"/>
            <rFont val="Tahoma"/>
            <family val="2"/>
          </rPr>
          <t xml:space="preserve">
SFARP</t>
        </r>
      </text>
    </comment>
    <comment ref="J144" authorId="2" shapeId="0" xr:uid="{00000000-0006-0000-0200-000006000000}">
      <text>
        <r>
          <rPr>
            <b/>
            <sz val="8"/>
            <color indexed="81"/>
            <rFont val="Tahoma"/>
            <family val="2"/>
          </rPr>
          <t>russell.w.scott:</t>
        </r>
        <r>
          <rPr>
            <sz val="8"/>
            <color indexed="81"/>
            <rFont val="Tahoma"/>
            <family val="2"/>
          </rPr>
          <t xml:space="preserve">
TSTA/FEP</t>
        </r>
      </text>
    </comment>
    <comment ref="K144" authorId="2" shapeId="0" xr:uid="{00000000-0006-0000-0200-000007000000}">
      <text>
        <r>
          <rPr>
            <b/>
            <sz val="8"/>
            <color indexed="81"/>
            <rFont val="Tahoma"/>
            <family val="2"/>
          </rPr>
          <t>russell.w.scott:</t>
        </r>
        <r>
          <rPr>
            <sz val="8"/>
            <color indexed="81"/>
            <rFont val="Tahoma"/>
            <family val="2"/>
          </rPr>
          <t xml:space="preserve">
C2X/Fallon</t>
        </r>
      </text>
    </comment>
    <comment ref="L144" authorId="2" shapeId="0" xr:uid="{00000000-0006-0000-0200-000008000000}">
      <text>
        <r>
          <rPr>
            <b/>
            <sz val="8"/>
            <color indexed="81"/>
            <rFont val="Tahoma"/>
            <family val="2"/>
          </rPr>
          <t>russell.w.scott:</t>
        </r>
        <r>
          <rPr>
            <sz val="8"/>
            <color indexed="81"/>
            <rFont val="Tahoma"/>
            <family val="2"/>
          </rPr>
          <t xml:space="preserve">
C2X/Fallon</t>
        </r>
      </text>
    </comment>
    <comment ref="M144" authorId="2" shapeId="0" xr:uid="{00000000-0006-0000-0200-000009000000}">
      <text>
        <r>
          <rPr>
            <b/>
            <sz val="8"/>
            <color indexed="81"/>
            <rFont val="Tahoma"/>
            <family val="2"/>
          </rPr>
          <t>russell.w.scott:</t>
        </r>
        <r>
          <rPr>
            <sz val="8"/>
            <color indexed="81"/>
            <rFont val="Tahoma"/>
            <family val="2"/>
          </rPr>
          <t xml:space="preserve">
C2X/Fallon</t>
        </r>
      </text>
    </comment>
    <comment ref="P144" authorId="2" shapeId="0" xr:uid="{00000000-0006-0000-0200-00000A000000}">
      <text>
        <r>
          <rPr>
            <b/>
            <sz val="8"/>
            <color indexed="81"/>
            <rFont val="Tahoma"/>
            <family val="2"/>
          </rPr>
          <t>russell.w.scott:</t>
        </r>
        <r>
          <rPr>
            <sz val="8"/>
            <color indexed="81"/>
            <rFont val="Tahoma"/>
            <family val="2"/>
          </rPr>
          <t xml:space="preserve">
Pre-deployment at sea sustainment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Michael Fleetwood</author>
    <author>Fleetwood, Michael T CTR  COMNAVAIRLANT, NC007</author>
  </authors>
  <commentList>
    <comment ref="B17" authorId="0" shapeId="0" xr:uid="{00000000-0006-0000-0B00-000001000000}">
      <text>
        <r>
          <rPr>
            <b/>
            <sz val="9"/>
            <color indexed="81"/>
            <rFont val="Tahoma"/>
            <family val="2"/>
          </rPr>
          <t>Michael Fleetwood:</t>
        </r>
        <r>
          <rPr>
            <sz val="9"/>
            <color indexed="81"/>
            <rFont val="Tahoma"/>
            <family val="2"/>
          </rPr>
          <t xml:space="preserve">
FY23 PPF</t>
        </r>
      </text>
    </comment>
    <comment ref="A29" authorId="1" shapeId="0" xr:uid="{00000000-0006-0000-0B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Michael Fleetwood</author>
    <author>Fleetwood, Michael T CTR  COMNAVAIRLANT, NC007</author>
  </authors>
  <commentList>
    <comment ref="B16" authorId="0" shapeId="0" xr:uid="{00000000-0006-0000-0C00-000001000000}">
      <text>
        <r>
          <rPr>
            <b/>
            <sz val="9"/>
            <color indexed="81"/>
            <rFont val="Tahoma"/>
            <family val="2"/>
          </rPr>
          <t>Michael Fleetwood:</t>
        </r>
        <r>
          <rPr>
            <sz val="9"/>
            <color indexed="81"/>
            <rFont val="Tahoma"/>
            <family val="2"/>
          </rPr>
          <t xml:space="preserve">
FY23 PPF</t>
        </r>
      </text>
    </comment>
    <comment ref="A29" authorId="1" shapeId="0" xr:uid="{00000000-0006-0000-0C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Fleetwood, Michael T CTR  COMNAVAIRLANT, NC007</author>
  </authors>
  <commentList>
    <comment ref="A34" authorId="0" shapeId="0" xr:uid="{00000000-0006-0000-0D00-000001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michael.fleetwood</author>
  </authors>
  <commentList>
    <comment ref="C6" authorId="0" shapeId="0" xr:uid="{00000000-0006-0000-1400-000001000000}">
      <text>
        <r>
          <rPr>
            <b/>
            <sz val="8"/>
            <color indexed="81"/>
            <rFont val="Tahoma"/>
            <family val="2"/>
          </rPr>
          <t>michael.fleetwood:</t>
        </r>
        <r>
          <rPr>
            <sz val="8"/>
            <color indexed="81"/>
            <rFont val="Tahoma"/>
            <family val="2"/>
          </rPr>
          <t xml:space="preserve">
These are the Mission System Groupings taken from the MESM.  Each item corresponds to an EOC Code.</t>
        </r>
      </text>
    </comment>
    <comment ref="D6" authorId="0" shapeId="0" xr:uid="{00000000-0006-0000-1400-000002000000}">
      <text>
        <r>
          <rPr>
            <b/>
            <sz val="8"/>
            <color indexed="81"/>
            <rFont val="Tahoma"/>
            <family val="2"/>
          </rPr>
          <t>michael.fleetwood:</t>
        </r>
        <r>
          <rPr>
            <sz val="8"/>
            <color indexed="81"/>
            <rFont val="Tahoma"/>
            <family val="2"/>
          </rPr>
          <t xml:space="preserve">
These items are integrated to the aircraft and describe the individual components in the Mission System Group</t>
        </r>
      </text>
    </comment>
    <comment ref="C118" authorId="0" shapeId="0" xr:uid="{00000000-0006-0000-1400-000003000000}">
      <text>
        <r>
          <rPr>
            <b/>
            <sz val="8"/>
            <color indexed="81"/>
            <rFont val="Tahoma"/>
            <family val="2"/>
          </rPr>
          <t>michael.fleetwood:</t>
        </r>
        <r>
          <rPr>
            <sz val="8"/>
            <color indexed="81"/>
            <rFont val="Tahoma"/>
            <family val="2"/>
          </rPr>
          <t xml:space="preserve">
Non-Integrated Systems are those items that attatch to the aircraft and do not necessarily affect the Material Condition of the aircraft when removed.  i.e. TFLIR, LDT, CATM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michael.fleetwood</author>
    <author>Home</author>
    <author>russell.w.scott</author>
  </authors>
  <commentList>
    <comment ref="A30" authorId="0" shapeId="0" xr:uid="{00000000-0006-0000-03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99" authorId="1" shapeId="0" xr:uid="{00000000-0006-0000-0300-000002000000}">
      <text>
        <r>
          <rPr>
            <sz val="8"/>
            <color indexed="81"/>
            <rFont val="Tahoma"/>
            <family val="2"/>
          </rPr>
          <t>2 Standard Deviation based on performance Standard</t>
        </r>
      </text>
    </comment>
    <comment ref="A100" authorId="1" shapeId="0" xr:uid="{00000000-0006-0000-0300-000003000000}">
      <text>
        <r>
          <rPr>
            <sz val="8"/>
            <color indexed="81"/>
            <rFont val="Tahoma"/>
            <family val="2"/>
          </rPr>
          <t>1 Standard Deviation based on performance Standard</t>
        </r>
      </text>
    </comment>
    <comment ref="A109" authorId="0" shapeId="0" xr:uid="{00000000-0006-0000-0300-000004000000}">
      <text>
        <r>
          <rPr>
            <sz val="8"/>
            <color indexed="81"/>
            <rFont val="Tahoma"/>
            <family val="2"/>
          </rPr>
          <t>Values from 8 PAA matrix</t>
        </r>
      </text>
    </comment>
    <comment ref="E144" authorId="2" shapeId="0" xr:uid="{00000000-0006-0000-0300-000005000000}">
      <text>
        <r>
          <rPr>
            <b/>
            <sz val="8"/>
            <color indexed="81"/>
            <rFont val="Tahoma"/>
            <family val="2"/>
          </rPr>
          <t>russell.w.scott:</t>
        </r>
        <r>
          <rPr>
            <sz val="8"/>
            <color indexed="81"/>
            <rFont val="Tahoma"/>
            <family val="2"/>
          </rPr>
          <t xml:space="preserve">
SFARP</t>
        </r>
      </text>
    </comment>
    <comment ref="J144" authorId="2" shapeId="0" xr:uid="{00000000-0006-0000-0300-000006000000}">
      <text>
        <r>
          <rPr>
            <b/>
            <sz val="8"/>
            <color indexed="81"/>
            <rFont val="Tahoma"/>
            <family val="2"/>
          </rPr>
          <t>russell.w.scott:</t>
        </r>
        <r>
          <rPr>
            <sz val="8"/>
            <color indexed="81"/>
            <rFont val="Tahoma"/>
            <family val="2"/>
          </rPr>
          <t xml:space="preserve">
TSTA/FEP</t>
        </r>
      </text>
    </comment>
    <comment ref="K144" authorId="2" shapeId="0" xr:uid="{00000000-0006-0000-0300-000007000000}">
      <text>
        <r>
          <rPr>
            <b/>
            <sz val="8"/>
            <color indexed="81"/>
            <rFont val="Tahoma"/>
            <family val="2"/>
          </rPr>
          <t>russell.w.scott:</t>
        </r>
        <r>
          <rPr>
            <sz val="8"/>
            <color indexed="81"/>
            <rFont val="Tahoma"/>
            <family val="2"/>
          </rPr>
          <t xml:space="preserve">
C2X/Fallon</t>
        </r>
      </text>
    </comment>
    <comment ref="L144" authorId="2" shapeId="0" xr:uid="{00000000-0006-0000-0300-000008000000}">
      <text>
        <r>
          <rPr>
            <b/>
            <sz val="8"/>
            <color indexed="81"/>
            <rFont val="Tahoma"/>
            <family val="2"/>
          </rPr>
          <t>russell.w.scott:</t>
        </r>
        <r>
          <rPr>
            <sz val="8"/>
            <color indexed="81"/>
            <rFont val="Tahoma"/>
            <family val="2"/>
          </rPr>
          <t xml:space="preserve">
C2X/Fallon</t>
        </r>
      </text>
    </comment>
    <comment ref="M144" authorId="2" shapeId="0" xr:uid="{00000000-0006-0000-0300-000009000000}">
      <text>
        <r>
          <rPr>
            <b/>
            <sz val="8"/>
            <color indexed="81"/>
            <rFont val="Tahoma"/>
            <family val="2"/>
          </rPr>
          <t>russell.w.scott:</t>
        </r>
        <r>
          <rPr>
            <sz val="8"/>
            <color indexed="81"/>
            <rFont val="Tahoma"/>
            <family val="2"/>
          </rPr>
          <t xml:space="preserve">
C2X/Fallon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michael.fleetwood</author>
    <author>Fleetwood, Michael T CTR  COMNAVAIRLANT, NC007</author>
    <author>Shawn A. Hoch</author>
    <author>Home</author>
  </authors>
  <commentList>
    <comment ref="A30" authorId="0" shapeId="0" xr:uid="{00000000-0006-0000-04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8" authorId="1" shapeId="0" xr:uid="{00000000-0006-0000-04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 ref="W56" authorId="2" shapeId="0" xr:uid="{00000000-0006-0000-0400-000003000000}">
      <text>
        <r>
          <rPr>
            <b/>
            <sz val="9"/>
            <color indexed="81"/>
            <rFont val="Tahoma"/>
            <family val="2"/>
          </rPr>
          <t>Shawn A. Hoch:</t>
        </r>
        <r>
          <rPr>
            <sz val="9"/>
            <color indexed="81"/>
            <rFont val="Tahoma"/>
            <family val="2"/>
          </rPr>
          <t xml:space="preserve">
Derived from 2xM-240 per aircraft, plus 1 spare, for 7 units total.</t>
        </r>
      </text>
    </comment>
    <comment ref="A99" authorId="3" shapeId="0" xr:uid="{00000000-0006-0000-0400-000004000000}">
      <text>
        <r>
          <rPr>
            <sz val="8"/>
            <color indexed="81"/>
            <rFont val="Tahoma"/>
            <family val="2"/>
          </rPr>
          <t>2 Standard Deviation based on performance Standard</t>
        </r>
      </text>
    </comment>
    <comment ref="A100" authorId="3" shapeId="0" xr:uid="{00000000-0006-0000-0400-000005000000}">
      <text>
        <r>
          <rPr>
            <sz val="8"/>
            <color indexed="81"/>
            <rFont val="Tahoma"/>
            <family val="2"/>
          </rPr>
          <t>1 Standard Deviation based on performance Standard</t>
        </r>
      </text>
    </comment>
    <comment ref="A109" authorId="0" shapeId="0" xr:uid="{00000000-0006-0000-0400-000006000000}">
      <text>
        <r>
          <rPr>
            <b/>
            <sz val="8"/>
            <color indexed="81"/>
            <rFont val="Tahoma"/>
            <family val="2"/>
          </rPr>
          <t xml:space="preserve">values from 3 PAA matrix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michael.fleetwood</author>
    <author>Fleetwood, Michael T CTR  COMNAVAIRLANT, NC007</author>
    <author>Home</author>
  </authors>
  <commentList>
    <comment ref="A30" authorId="0" shapeId="0" xr:uid="{00000000-0006-0000-05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8" authorId="1" shapeId="0" xr:uid="{00000000-0006-0000-05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 ref="A99" authorId="2" shapeId="0" xr:uid="{00000000-0006-0000-0500-000003000000}">
      <text>
        <r>
          <rPr>
            <sz val="8"/>
            <color indexed="81"/>
            <rFont val="Tahoma"/>
            <family val="2"/>
          </rPr>
          <t>2 Standard Deviation based on performance Standard</t>
        </r>
      </text>
    </comment>
    <comment ref="A100" authorId="2" shapeId="0" xr:uid="{00000000-0006-0000-0500-000004000000}">
      <text>
        <r>
          <rPr>
            <sz val="8"/>
            <color indexed="81"/>
            <rFont val="Tahoma"/>
            <family val="2"/>
          </rPr>
          <t>1 Standard Deviation based on performance Standard</t>
        </r>
      </text>
    </comment>
    <comment ref="A109" authorId="0" shapeId="0" xr:uid="{00000000-0006-0000-0500-000005000000}">
      <text>
        <r>
          <rPr>
            <sz val="8"/>
            <color indexed="81"/>
            <rFont val="Tahoma"/>
            <family val="2"/>
          </rPr>
          <t xml:space="preserve">
Values from 1 PAA MIW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michael.fleetwood</author>
    <author>Fleetwood, Michael T CTR  COMNAVAIRLANT, NC007</author>
    <author>Home</author>
  </authors>
  <commentList>
    <comment ref="A30" authorId="0" shapeId="0" xr:uid="{00000000-0006-0000-06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8" authorId="1" shapeId="0" xr:uid="{00000000-0006-0000-06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 ref="A99" authorId="2" shapeId="0" xr:uid="{00000000-0006-0000-0600-000003000000}">
      <text>
        <r>
          <rPr>
            <sz val="8"/>
            <color indexed="81"/>
            <rFont val="Tahoma"/>
            <family val="2"/>
          </rPr>
          <t>2 Standard Deviation based on performance Standard</t>
        </r>
      </text>
    </comment>
    <comment ref="A100" authorId="2" shapeId="0" xr:uid="{00000000-0006-0000-0600-000004000000}">
      <text>
        <r>
          <rPr>
            <sz val="8"/>
            <color indexed="81"/>
            <rFont val="Tahoma"/>
            <family val="2"/>
          </rPr>
          <t>1 Standard Deviation based on performance Standard</t>
        </r>
      </text>
    </comment>
    <comment ref="A109" authorId="0" shapeId="0" xr:uid="{00000000-0006-0000-0600-000005000000}">
      <text>
        <r>
          <rPr>
            <b/>
            <sz val="8"/>
            <color indexed="81"/>
            <rFont val="Tahoma"/>
            <family val="2"/>
          </rPr>
          <t>Values from 1 PAA SUW</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michael.fleetwood</author>
    <author>Fleetwood, Michael T CTR  COMNAVAIRLANT, NC007</author>
    <author>Home</author>
  </authors>
  <commentList>
    <comment ref="A30" authorId="0" shapeId="0" xr:uid="{00000000-0006-0000-07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8" authorId="1" shapeId="0" xr:uid="{00000000-0006-0000-07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 ref="A99" authorId="2" shapeId="0" xr:uid="{00000000-0006-0000-0700-000003000000}">
      <text>
        <r>
          <rPr>
            <sz val="8"/>
            <color indexed="81"/>
            <rFont val="Tahoma"/>
            <family val="2"/>
          </rPr>
          <t>2 Standard Deviation based on performance Standard</t>
        </r>
      </text>
    </comment>
    <comment ref="A100" authorId="2" shapeId="0" xr:uid="{00000000-0006-0000-0700-000004000000}">
      <text>
        <r>
          <rPr>
            <sz val="8"/>
            <color indexed="81"/>
            <rFont val="Tahoma"/>
            <family val="2"/>
          </rPr>
          <t>1 Standard Deviation based on performance Standard</t>
        </r>
      </text>
    </comment>
    <comment ref="A109" authorId="0" shapeId="0" xr:uid="{00000000-0006-0000-0700-000005000000}">
      <text>
        <r>
          <rPr>
            <b/>
            <sz val="8"/>
            <color indexed="81"/>
            <rFont val="Tahoma"/>
            <family val="2"/>
          </rPr>
          <t>VALUES FROM 1 PAA RFS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michael.fleetwood</author>
    <author>Fleetwood, Michael T CTR  COMNAVAIRLANT, NC007</author>
    <author>Home</author>
  </authors>
  <commentList>
    <comment ref="A30" authorId="0" shapeId="0" xr:uid="{00000000-0006-0000-08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8" authorId="1" shapeId="0" xr:uid="{00000000-0006-0000-08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 ref="A99" authorId="2" shapeId="0" xr:uid="{00000000-0006-0000-0800-000003000000}">
      <text>
        <r>
          <rPr>
            <sz val="8"/>
            <color indexed="81"/>
            <rFont val="Tahoma"/>
            <family val="2"/>
          </rPr>
          <t>2 Standard Deviation based on performance Standard</t>
        </r>
      </text>
    </comment>
    <comment ref="A100" authorId="2" shapeId="0" xr:uid="{00000000-0006-0000-0800-000004000000}">
      <text>
        <r>
          <rPr>
            <sz val="8"/>
            <color indexed="81"/>
            <rFont val="Tahoma"/>
            <family val="2"/>
          </rPr>
          <t>1 Standard Deviation based on performance Standard</t>
        </r>
      </text>
    </comment>
    <comment ref="A109" authorId="0" shapeId="0" xr:uid="{00000000-0006-0000-0800-000005000000}">
      <text>
        <r>
          <rPr>
            <b/>
            <sz val="8"/>
            <color indexed="81"/>
            <rFont val="Tahoma"/>
            <family val="2"/>
          </rPr>
          <t>values from 4 PAA matrix</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michael.fleetwood</author>
    <author>Fleetwood, Michael T CTR  COMNAVAIRLANT, NC007</author>
    <author>Home</author>
  </authors>
  <commentList>
    <comment ref="A30" authorId="0" shapeId="0" xr:uid="{00000000-0006-0000-09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8" authorId="1" shapeId="0" xr:uid="{00000000-0006-0000-09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 ref="A99" authorId="2" shapeId="0" xr:uid="{00000000-0006-0000-0900-000003000000}">
      <text>
        <r>
          <rPr>
            <sz val="8"/>
            <color indexed="81"/>
            <rFont val="Tahoma"/>
            <family val="2"/>
          </rPr>
          <t>2 Standard Deviation based on performance Standard</t>
        </r>
      </text>
    </comment>
    <comment ref="A100" authorId="2" shapeId="0" xr:uid="{00000000-0006-0000-0900-000004000000}">
      <text>
        <r>
          <rPr>
            <sz val="8"/>
            <color indexed="81"/>
            <rFont val="Tahoma"/>
            <family val="2"/>
          </rPr>
          <t>1 Standard Deviation based on performance Standard</t>
        </r>
      </text>
    </comment>
    <comment ref="A109" authorId="0" shapeId="0" xr:uid="{00000000-0006-0000-0900-000005000000}">
      <text>
        <r>
          <rPr>
            <sz val="8"/>
            <color indexed="81"/>
            <rFont val="Tahoma"/>
            <family val="2"/>
          </rPr>
          <t xml:space="preserve">
Values from 2 PAA matrix</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michael.fleetwood</author>
    <author>Fleetwood, Michael T CTR  COMNAVAIRLANT, NC007</author>
    <author>Home</author>
  </authors>
  <commentList>
    <comment ref="A30" authorId="0" shapeId="0" xr:uid="{00000000-0006-0000-0A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8" authorId="1" shapeId="0" xr:uid="{00000000-0006-0000-0A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 ref="A99" authorId="2" shapeId="0" xr:uid="{00000000-0006-0000-0A00-000003000000}">
      <text>
        <r>
          <rPr>
            <sz val="8"/>
            <color indexed="81"/>
            <rFont val="Tahoma"/>
            <family val="2"/>
          </rPr>
          <t>2 Standard Deviation based on performance Standard</t>
        </r>
      </text>
    </comment>
    <comment ref="A100" authorId="2" shapeId="0" xr:uid="{00000000-0006-0000-0A00-000004000000}">
      <text>
        <r>
          <rPr>
            <sz val="8"/>
            <color indexed="81"/>
            <rFont val="Tahoma"/>
            <family val="2"/>
          </rPr>
          <t>1 Standard Deviation based on performance Standard</t>
        </r>
      </text>
    </comment>
  </commentList>
</comments>
</file>

<file path=xl/sharedStrings.xml><?xml version="1.0" encoding="utf-8"?>
<sst xmlns="http://schemas.openxmlformats.org/spreadsheetml/2006/main" count="2733" uniqueCount="463">
  <si>
    <t>Standard Name</t>
  </si>
  <si>
    <t>AMFOM</t>
  </si>
  <si>
    <t>ID</t>
  </si>
  <si>
    <t>Rev:</t>
  </si>
  <si>
    <t>Readiness Standards HSC MH-60S 1 Aircraft 2 Crew</t>
  </si>
  <si>
    <t>Deleted</t>
  </si>
  <si>
    <t>Readiness Standards HSC MH-60S 4 Aircraft 6 Crew</t>
  </si>
  <si>
    <t>Readiness Standards HSC MH-60S 2 Aircraft 3 Crew Humanitarian</t>
  </si>
  <si>
    <t>Readiness Standards HSC MH-60S 1 ACFT 2 CREW C6F</t>
  </si>
  <si>
    <t>Readiness Standards HSC MH-60S 2 ACFT 3 CREW CSG/ESG</t>
  </si>
  <si>
    <t>Readiness Standards HSC MH-60S 2 ACFT 3 CREW CSG/ESG with KITS</t>
  </si>
  <si>
    <t>Readiness Standards HSC MH-60S 4 ACFT 6 CREW C5F</t>
  </si>
  <si>
    <t>Readiness Standards HSC MH-60S FDNF MSC PAA 2 DET</t>
  </si>
  <si>
    <t>Readiness Standards HSC MH-60S 2 Aircraft 3 Crew Reserve</t>
  </si>
  <si>
    <t>Readiness Standards HSC MH-60S 1 Aircraft 2 Crew Reserve</t>
  </si>
  <si>
    <t>Readiness Standards HSC MH-60S CVW - Legacy T&amp;R</t>
  </si>
  <si>
    <t>Readiness Standards HSC MH-60S CVW 8 ACFT 14 Crew</t>
  </si>
  <si>
    <t>Readiness Standards HSC MH-60S CVW FDNF 8 ACFT 14 Crew</t>
  </si>
  <si>
    <t>Note:  'NEW' Standards are less than 90 Days old</t>
  </si>
  <si>
    <t>Date</t>
  </si>
  <si>
    <t>Standard</t>
  </si>
  <si>
    <t>Change Summary</t>
  </si>
  <si>
    <t>HSC Expeditionary All (no Reserve)</t>
  </si>
  <si>
    <t>Created DRRS-N Based profiles</t>
  </si>
  <si>
    <t>HSC EXP 2 AC CSG ESG W FRS DRRS</t>
  </si>
  <si>
    <t>Updated FRS Standards</t>
  </si>
  <si>
    <t>Updated Training Readiness Standard to align with HSM</t>
  </si>
  <si>
    <t>HSC EXP 2 AC CSG ESG W Kit DRRS</t>
  </si>
  <si>
    <t>HSC EXP 2 AC Humanitarian DRRS</t>
  </si>
  <si>
    <t>All Standards</t>
  </si>
  <si>
    <t>Corrected Red Below formulas in all standards</t>
  </si>
  <si>
    <t>All</t>
  </si>
  <si>
    <t>Added Simulator Support Hours / Re-added Required and Skilled Crews rows</t>
  </si>
  <si>
    <t>Updated Trained Manpower and Crew data from T&amp;Rs</t>
  </si>
  <si>
    <t>Integrated DRRS-N AMFOM Standards to each Tab</t>
  </si>
  <si>
    <t>updated non-THD months with 40% funding to 50% funding.  POM and PDL remain at 40%</t>
  </si>
  <si>
    <t>HSC EXP 3 AC CSG ESG W Kit</t>
  </si>
  <si>
    <t>New Standard</t>
  </si>
  <si>
    <t>Added AMFOM Tables to each tab</t>
  </si>
  <si>
    <t>HSC EXP 1 AC DRRS</t>
  </si>
  <si>
    <t>Updated ATR Standards</t>
  </si>
  <si>
    <t>Updated Mission Systems based on 2Jun17 MESM Update</t>
  </si>
  <si>
    <t>Updated AMFOM Tables based on 2Jun17 MESM Update</t>
  </si>
  <si>
    <t>HSC EXP FDNF (All)</t>
  </si>
  <si>
    <t>Added to this file</t>
  </si>
  <si>
    <t>CSG ESG Standards</t>
  </si>
  <si>
    <t>Changed POM and PDL RBA and Mission System requirements to match a typical Sustain month per Air Boss Direction</t>
  </si>
  <si>
    <t>Added EOC L code: Ready IMC Flight Mission Systems (L), set equal to MC %</t>
  </si>
  <si>
    <t>HSC MH-60S FRS</t>
  </si>
  <si>
    <t>FRS Standards moved to unique tab</t>
  </si>
  <si>
    <t>All AMFOM</t>
  </si>
  <si>
    <t>Updated AMFOM Standards to remove RBA and replace with MC and added EOC (L)</t>
  </si>
  <si>
    <t>HSC MH-60S 4 Aircraft 6 Crew Reserve</t>
  </si>
  <si>
    <t>EXPED NTA Matrix</t>
  </si>
  <si>
    <t>Created AMFOM NTA Matrix maps for 1 and 2-4 AC EXPED Dets</t>
  </si>
  <si>
    <t>HSC EXP MIW</t>
  </si>
  <si>
    <t>Renamed</t>
  </si>
  <si>
    <t>Updated to include FMC and Mission System values from ARC-N</t>
  </si>
  <si>
    <t>Integrated the CVW and Exped standards to one file.</t>
  </si>
  <si>
    <t>8 Aircraft CVW Standards</t>
  </si>
  <si>
    <t>Deleted these standards. No comparable T&amp;R.</t>
  </si>
  <si>
    <t>Readiness Standards HSC MH-60S CVW 5 ACFT 9 Crew</t>
  </si>
  <si>
    <t>Inventory</t>
  </si>
  <si>
    <t>ID:</t>
  </si>
  <si>
    <t>PAA =</t>
  </si>
  <si>
    <t>Crew/Seat Ratio =</t>
  </si>
  <si>
    <t>Crews =</t>
  </si>
  <si>
    <t>ESL =</t>
  </si>
  <si>
    <t>100% T&amp;R Matrix =</t>
  </si>
  <si>
    <t>100% Training Hours =</t>
  </si>
  <si>
    <t>100% Training Sorties =</t>
  </si>
  <si>
    <t>FCF Support Hours =</t>
  </si>
  <si>
    <t>Per Crew</t>
  </si>
  <si>
    <t>Tactical Hard Deck =</t>
  </si>
  <si>
    <t>Afloat Support Hours =</t>
  </si>
  <si>
    <t>Sim Fidelity %=</t>
  </si>
  <si>
    <t>Simulator Support Hours=</t>
  </si>
  <si>
    <t>FRTP Mode</t>
  </si>
  <si>
    <t>Maintenance</t>
  </si>
  <si>
    <t>Basic</t>
  </si>
  <si>
    <t>Advanced</t>
  </si>
  <si>
    <t>Integrated</t>
  </si>
  <si>
    <t xml:space="preserve">Sustain </t>
  </si>
  <si>
    <t>Deploy</t>
  </si>
  <si>
    <t>Tactical Hard Deck</t>
  </si>
  <si>
    <t>R+Month</t>
  </si>
  <si>
    <t>R+1</t>
  </si>
  <si>
    <t>R+2</t>
  </si>
  <si>
    <t>R+3</t>
  </si>
  <si>
    <t>R+4</t>
  </si>
  <si>
    <t xml:space="preserve">R+5 </t>
  </si>
  <si>
    <t xml:space="preserve">R+6 </t>
  </si>
  <si>
    <t xml:space="preserve">R+7 </t>
  </si>
  <si>
    <t>R+8</t>
  </si>
  <si>
    <t xml:space="preserve">R+9 </t>
  </si>
  <si>
    <t xml:space="preserve">R+10 </t>
  </si>
  <si>
    <t xml:space="preserve">R+11 </t>
  </si>
  <si>
    <t>R+12</t>
  </si>
  <si>
    <t>R+13</t>
  </si>
  <si>
    <t>R+14</t>
  </si>
  <si>
    <t>R+15</t>
  </si>
  <si>
    <t>POM</t>
  </si>
  <si>
    <t>D+1</t>
  </si>
  <si>
    <t>D+2</t>
  </si>
  <si>
    <t>D+3</t>
  </si>
  <si>
    <t>D+4</t>
  </si>
  <si>
    <t>D+5</t>
  </si>
  <si>
    <t>D+6</t>
  </si>
  <si>
    <t>PDL</t>
  </si>
  <si>
    <t>R+24</t>
  </si>
  <si>
    <t>R+25</t>
  </si>
  <si>
    <t>R+26</t>
  </si>
  <si>
    <t>R+27</t>
  </si>
  <si>
    <t>R+28</t>
  </si>
  <si>
    <t>FRTP</t>
  </si>
  <si>
    <t>Mission</t>
  </si>
  <si>
    <t>ULT &amp; Depot Mx</t>
  </si>
  <si>
    <t>ARP to TSTA III</t>
  </si>
  <si>
    <t>C2X to FLN</t>
  </si>
  <si>
    <t>Deployment</t>
  </si>
  <si>
    <t>Sustain</t>
  </si>
  <si>
    <t>THD</t>
  </si>
  <si>
    <t>Training Resource Elements</t>
  </si>
  <si>
    <t>Average Training Readiness (ATR) Standard</t>
  </si>
  <si>
    <t>% of T&amp;R Matrix</t>
  </si>
  <si>
    <t>Flying Hours</t>
  </si>
  <si>
    <t>Training Sortie Standard</t>
  </si>
  <si>
    <t>Training Hours Standard</t>
  </si>
  <si>
    <t>Ashore Support Hours Total</t>
  </si>
  <si>
    <t>Afloat Support Hours Total</t>
  </si>
  <si>
    <t>Total Hours Standard</t>
  </si>
  <si>
    <t>Simulator Contribution</t>
  </si>
  <si>
    <t>Allocated Flight Hours</t>
  </si>
  <si>
    <t>Flight Hour Execution Standard (90 Day Avg)</t>
  </si>
  <si>
    <t>Simulator Hours</t>
  </si>
  <si>
    <t>Simulator Support Hours</t>
  </si>
  <si>
    <t>Aircraft Standards</t>
  </si>
  <si>
    <t>Flightline %</t>
  </si>
  <si>
    <t>MC %</t>
  </si>
  <si>
    <t>FMC %</t>
  </si>
  <si>
    <t>Flightline Standard</t>
  </si>
  <si>
    <t>MC Standard</t>
  </si>
  <si>
    <t>FMC Standard</t>
  </si>
  <si>
    <t>Integrated Mission Systems</t>
  </si>
  <si>
    <t>Ready MH-60S Cargo Transport Mission Systems (C)</t>
  </si>
  <si>
    <t>Ready MH-60S Airborne Mine Counter Measures (AMCM) Mission Systems (D)</t>
  </si>
  <si>
    <t>Ready MH-60S Active/Passive Countermeasures Mission Systems (E)</t>
  </si>
  <si>
    <t>Ready MH-60S CSAR, SUW, and Spec Warfare Mission Systems (F)</t>
  </si>
  <si>
    <t>Ready MH-60S Personnel Transport Mission Systems (G)</t>
  </si>
  <si>
    <t>Ready MH-60S SAR\MEDIVAC Mission Systems (H)</t>
  </si>
  <si>
    <t>Ready MH-60S Mission Support Systems (I)</t>
  </si>
  <si>
    <t>Ready MH-60S Fixed Forward Firing Systems (J)</t>
  </si>
  <si>
    <t>Ready MH-60S Shipboard Mission Systems (K)</t>
  </si>
  <si>
    <t>Ready MH-60S IMC Flight Mission Systems (L)</t>
  </si>
  <si>
    <t>Non-Integrated Mission Systems</t>
  </si>
  <si>
    <t>Assigned M-299 Sets</t>
  </si>
  <si>
    <t>Ready M-299 Sets</t>
  </si>
  <si>
    <t>Assigned 20-mm Sets</t>
  </si>
  <si>
    <t>Ready 20-mm Sets</t>
  </si>
  <si>
    <t>Assigned GAU-21 Sets</t>
  </si>
  <si>
    <t>Ready GAU-21 Sets</t>
  </si>
  <si>
    <t>Assigned M-240 Sets</t>
  </si>
  <si>
    <t>Ready M-240 Sets</t>
  </si>
  <si>
    <t>Assigned Full Motion Video Systems</t>
  </si>
  <si>
    <t>Ready Full Motion Video Systems</t>
  </si>
  <si>
    <t>Aircrew Manning and Crews</t>
  </si>
  <si>
    <t>Squadron Manning</t>
  </si>
  <si>
    <t>Overall Rating Fill</t>
  </si>
  <si>
    <t>Overall Rating Fit</t>
  </si>
  <si>
    <t>Overall NEC Fit</t>
  </si>
  <si>
    <t>Range of Performance Values - Do Not Modify - (Use these values to establish performance cutoffs)</t>
  </si>
  <si>
    <t>UCL (Red Above)</t>
  </si>
  <si>
    <t>UCL (Yellow Above)</t>
  </si>
  <si>
    <t>Training Readiness Standard</t>
  </si>
  <si>
    <t>LCL (Yellow Below)</t>
  </si>
  <si>
    <t>LCL (Red Below)</t>
  </si>
  <si>
    <t>Ef Crew Expectation Profile</t>
  </si>
  <si>
    <t>U/L CL Max:</t>
  </si>
  <si>
    <t>U/L CL Min:</t>
  </si>
  <si>
    <t>CBM Matrix Ef Values - Do Not Modify</t>
  </si>
  <si>
    <t>Trained Manpower and Crews</t>
  </si>
  <si>
    <t>Pilot Upper Limit</t>
  </si>
  <si>
    <t>Pilot Lower Limit</t>
  </si>
  <si>
    <t>MRWMC Pilots</t>
  </si>
  <si>
    <t>≥ Level 4 Pilots</t>
  </si>
  <si>
    <t>≥ Level 3 Pilots</t>
  </si>
  <si>
    <t>≥ Level 2 Pilots</t>
  </si>
  <si>
    <t>≥ Level 1 Pilots</t>
  </si>
  <si>
    <t>≥ PR/SOF 4 Pilots</t>
  </si>
  <si>
    <t>≥ PR/SOF 3 Pilots</t>
  </si>
  <si>
    <t>≥ PR/SOF 2 Pilots</t>
  </si>
  <si>
    <t>≥ PR/SOF 1 Pilots</t>
  </si>
  <si>
    <t>≥ MIW Level 2 Pilots</t>
  </si>
  <si>
    <t>NA</t>
  </si>
  <si>
    <t>≥ MIW Level 1 Pilots</t>
  </si>
  <si>
    <t>≥ TAC Level 4 Pilots</t>
  </si>
  <si>
    <t>≥ TAC Level 3 Pilots</t>
  </si>
  <si>
    <t>≥ TAC Level 2 Pilots</t>
  </si>
  <si>
    <t>Mountain Flying School Pilots</t>
  </si>
  <si>
    <t>Aircrew Upper Limit</t>
  </si>
  <si>
    <t>Aircrew Lower Limit</t>
  </si>
  <si>
    <t>≥ Level 3 Aircrewmen</t>
  </si>
  <si>
    <t>≥ Level 2 Aircrewmen</t>
  </si>
  <si>
    <t>≥ Level 1 Aircrewmen</t>
  </si>
  <si>
    <t>≥ PR/SOF 3 Aircrewmen</t>
  </si>
  <si>
    <t>≥ MIW Level 2 Aircrewmen</t>
  </si>
  <si>
    <t>≥ MIW Level 1 Aircrewmen</t>
  </si>
  <si>
    <t>≥ TAC Level 3 Aircrewmen</t>
  </si>
  <si>
    <t>≥ TAC Level 2 Aircrewmen</t>
  </si>
  <si>
    <t>Aerial Gunnery Instructor (AGI) Aircrewmen</t>
  </si>
  <si>
    <t>Aerial Gunner (AG) Aircrewmen</t>
  </si>
  <si>
    <t>Mountain Flying School Aircrewmen</t>
  </si>
  <si>
    <t>≥ HM (Paramedic) Aircrewmen</t>
  </si>
  <si>
    <t>Required Skilled Crews</t>
  </si>
  <si>
    <t>Monthly Variable Hours Assignments</t>
  </si>
  <si>
    <t>Simulator Replacement Month</t>
  </si>
  <si>
    <t>X</t>
  </si>
  <si>
    <t>Afloat Support Hours Assignment</t>
  </si>
  <si>
    <t>x</t>
  </si>
  <si>
    <t>DRRS-N E-Pillar Break Points</t>
  </si>
  <si>
    <t>Green</t>
  </si>
  <si>
    <t>Yellow</t>
  </si>
  <si>
    <t>Red</t>
  </si>
  <si>
    <t>Top</t>
  </si>
  <si>
    <t>Aircraft</t>
  </si>
  <si>
    <t>In Reporting</t>
  </si>
  <si>
    <t>Mission Capable Aircraft (MC)</t>
  </si>
  <si>
    <t>N/A</t>
  </si>
  <si>
    <t>FMC and Mission System Utilization Rates</t>
  </si>
  <si>
    <t>MH-60S 5PAA CVW v220921</t>
  </si>
  <si>
    <t>FMC % of MC</t>
  </si>
  <si>
    <t>Readiness Standards HSC MH-60S CVW FDNF 5 ACFT 9 Crew</t>
  </si>
  <si>
    <t>ULT &amp; Depot Maint</t>
  </si>
  <si>
    <t>Readiness Standards HSC MH-60S 3 ACFT 4.5 CREW CSG/ESG with KITS</t>
  </si>
  <si>
    <t>Ashore Support Hours =</t>
  </si>
  <si>
    <t>R+5</t>
  </si>
  <si>
    <t>R+6</t>
  </si>
  <si>
    <t>R+7</t>
  </si>
  <si>
    <t>R+9</t>
  </si>
  <si>
    <t>R+10</t>
  </si>
  <si>
    <t>R+11</t>
  </si>
  <si>
    <t>ULT &amp; Depot Maintenance</t>
  </si>
  <si>
    <t>ULT</t>
  </si>
  <si>
    <t>ESGX</t>
  </si>
  <si>
    <t>C2X</t>
  </si>
  <si>
    <t>JTFX</t>
  </si>
  <si>
    <t>HSC MH-60S 3 ACFT 4 CREW CSG/ESG with KITS AMFOM Standard</t>
  </si>
  <si>
    <t>MH-60S 3PAA EXP v220921</t>
  </si>
  <si>
    <t>Readiness Standards HSC MH-60S 1 ACFT 2 Crew MIW DET</t>
  </si>
  <si>
    <t>Intermediate</t>
  </si>
  <si>
    <t>HARP</t>
  </si>
  <si>
    <t>ISATT</t>
  </si>
  <si>
    <t>SWATT</t>
  </si>
  <si>
    <t>HSC MH-60S 1 Aircraft 2 Crew AMFOM Standard</t>
  </si>
  <si>
    <t>MH-60S 1PAA MIW v220921</t>
  </si>
  <si>
    <t>Readiness Standards HSC MH-60S 1 ACFT 2 Crew SUW DET</t>
  </si>
  <si>
    <t>MH-60S 1PAA SUW v220921</t>
  </si>
  <si>
    <t>Readiness Standards HSC MH-60S 1 ACFT 2 Crew RFS DET</t>
  </si>
  <si>
    <t>HSC EXP 1AC FDNF C6F AMFOM Standard</t>
  </si>
  <si>
    <t>MH-60S 1PAA RFS v220921</t>
  </si>
  <si>
    <t>Readiness Standards HSC MH-60S 4 ACFT 6 Crew RFS</t>
  </si>
  <si>
    <t>HSC MH-60S 4 Aircraft 6 Crew AMFOM Standard</t>
  </si>
  <si>
    <t>MH-60S 4PAA RFS v220921</t>
  </si>
  <si>
    <t>Readiness Standards HSC MH-60S 2 ACFT 3 Crew Humanitarian</t>
  </si>
  <si>
    <t>ULT &amp; Depot</t>
  </si>
  <si>
    <t>HSC MH-60S 2 Aircraft 3 Crew Humanitarian AMFOM Standard</t>
  </si>
  <si>
    <t>MH-60S 2PAA CLF HUM v220921</t>
  </si>
  <si>
    <t>Readiness Standards HSC MH-60S 4 Aircraft 6 Crew Reserve</t>
  </si>
  <si>
    <t>MH-60S 4PAA HSC85 v220921</t>
  </si>
  <si>
    <t>Readiness Standards HSC MH-60S HSC-2 FRS</t>
  </si>
  <si>
    <t>7.10</t>
  </si>
  <si>
    <t>HSC-2 PAA =</t>
  </si>
  <si>
    <t>FRS</t>
  </si>
  <si>
    <t>A-1</t>
  </si>
  <si>
    <t>HSC-2</t>
  </si>
  <si>
    <t>Readiness Standards HSC MH-60S HSC-3 FRS</t>
  </si>
  <si>
    <t>HSC-3 PTAA =</t>
  </si>
  <si>
    <t>HSC-3 PMAA =</t>
  </si>
  <si>
    <t>HSC-3</t>
  </si>
  <si>
    <t>Readiness Standards HSC MH-6R TEST/STATION FAS</t>
  </si>
  <si>
    <t>PAA</t>
  </si>
  <si>
    <t>Unit</t>
  </si>
  <si>
    <t>MH-60R</t>
  </si>
  <si>
    <t>VX-1</t>
  </si>
  <si>
    <t>VX-31</t>
  </si>
  <si>
    <t>HX-21</t>
  </si>
  <si>
    <t>NAS KEY WEST</t>
  </si>
  <si>
    <t>NAS LEMOORE</t>
  </si>
  <si>
    <t>NAS PAX RIVER</t>
  </si>
  <si>
    <t>NAS WHIDBEY ISLAND</t>
  </si>
  <si>
    <t>Test</t>
  </si>
  <si>
    <t>STATION FAS</t>
  </si>
  <si>
    <t>A+1</t>
  </si>
  <si>
    <t>A+2</t>
  </si>
  <si>
    <t>TEST</t>
  </si>
  <si>
    <t>SAR</t>
  </si>
  <si>
    <t>TMS</t>
  </si>
  <si>
    <t>Mission Systems</t>
  </si>
  <si>
    <t>Navy MH-60S TMS CVW Reduced MET to Mission System Map</t>
  </si>
  <si>
    <t>MISSION ESSENTIAL TASKS</t>
  </si>
  <si>
    <t>NTA 1.1.2.3.3</t>
  </si>
  <si>
    <t xml:space="preserve">Conduct Flight Operations </t>
  </si>
  <si>
    <t>NTA 1.1.2.4</t>
  </si>
  <si>
    <t xml:space="preserve">Conduct Tactical Insertion and Extraction </t>
  </si>
  <si>
    <t>NTA 1.4.6</t>
  </si>
  <si>
    <t xml:space="preserve">Conduct Maritime Interception </t>
  </si>
  <si>
    <t>NTA 2.2.1</t>
  </si>
  <si>
    <t xml:space="preserve">Collect Target Information </t>
  </si>
  <si>
    <t>NTA 3.2.1.1</t>
  </si>
  <si>
    <t xml:space="preserve">Attack Surface Targets </t>
  </si>
  <si>
    <t>NTA 3.2.2</t>
  </si>
  <si>
    <t xml:space="preserve">Attack Enemy Land Targets </t>
  </si>
  <si>
    <t>NTA 4.6.5</t>
  </si>
  <si>
    <t xml:space="preserve">Provide Vertical Replenishment </t>
  </si>
  <si>
    <t>NTA 4.8.1</t>
  </si>
  <si>
    <t>Support Peace Operations</t>
  </si>
  <si>
    <t>NTA 6.2</t>
  </si>
  <si>
    <t>Rescue and Recover</t>
  </si>
  <si>
    <t>NTA 6.2.2.2</t>
  </si>
  <si>
    <t>Perform Combat Search and Rescue (CSAR)</t>
  </si>
  <si>
    <t>Navy MH-60S EXP MIW Reduced MET to Mission System Map</t>
  </si>
  <si>
    <t>NTA 1.3.1.1</t>
  </si>
  <si>
    <t>Conduct Mine Hunting</t>
  </si>
  <si>
    <t xml:space="preserve">NTA 1.3.1.3 </t>
  </si>
  <si>
    <t xml:space="preserve">Conduct Mine Neutralization </t>
  </si>
  <si>
    <t>Navy MH-60S EXP SUW Reduced MET to Mission System Map</t>
  </si>
  <si>
    <t>Navy MH-60S 1-4 AC EXP Reduced MET to Mission System Map</t>
  </si>
  <si>
    <t>Navy MH-60S 1-4 AC EXP CLF HUM Reduced MET to Mission System Map</t>
  </si>
  <si>
    <t>MH-60S Mission System Utilization per Flight Task</t>
  </si>
  <si>
    <t>Exped Max</t>
  </si>
  <si>
    <t>Tab Inventory</t>
  </si>
  <si>
    <t>Mission System Groups HSC MH-60S</t>
  </si>
  <si>
    <t>** MESM:</t>
  </si>
  <si>
    <t>Integrated Aircraft Mission Systems Configuration</t>
  </si>
  <si>
    <t>COMMUNITY</t>
  </si>
  <si>
    <t>TMS AFFECTED</t>
  </si>
  <si>
    <t>Mission System Group</t>
  </si>
  <si>
    <t xml:space="preserve">COMPONENTS/SYSTEMS/ MESM CODES </t>
  </si>
  <si>
    <t>HSC</t>
  </si>
  <si>
    <t>MH-60S</t>
  </si>
  <si>
    <t>Ready Cargo Transport Mission Systems</t>
  </si>
  <si>
    <t>MH-60S (Cargo Transport Mission Systems) (EOC C)</t>
  </si>
  <si>
    <t>CABIN TIE DOWNS</t>
  </si>
  <si>
    <t>CARGO HOOK (INCLUDING EXPLOSIVE DEVICES)</t>
  </si>
  <si>
    <t>Ready Airborne Mine Counter Measures (AMCM) Mission Systems</t>
  </si>
  <si>
    <t>MH-60S (AMCM Mission Systems) (EOC D)</t>
  </si>
  <si>
    <t>AMCM BASE KIT (INCLUDING SAC RME, CSTRS AND COMMON CONSOLE)</t>
  </si>
  <si>
    <t>AMCM ICS STATIONS (WO/SO)</t>
  </si>
  <si>
    <t>AMCM NON-TOW KIT (INCLUDING BRU-14 AND EXPLOSIVE DEVICES)</t>
  </si>
  <si>
    <t>AMCM TOW KIT (INCLUDING TOW CABLE CONTROL PANEL/HCU/PDU/TSSC/)</t>
  </si>
  <si>
    <t>AMCM WINDOW ASSEMBLIES</t>
  </si>
  <si>
    <t>EGI (2 REQUIRED), ALL EXCEPT PART NUMBERS 810400-2 &amp; 810400-3, NO REQUIREMENT TO BE A MATCHED PAIR</t>
  </si>
  <si>
    <t>EMERGENCY EGRESS LIGHTING SYSTEMS (AMCM WINDOW ADHEELS/IHEELS REQUIRED)</t>
  </si>
  <si>
    <t>GUILLOTINE/JETTISON SYSTEM</t>
  </si>
  <si>
    <t>NUMBER 4 HYDRAULIC SYSTEM (BUNO 166302 AND SUBSEQUENT)</t>
  </si>
  <si>
    <t>RADAR ALTIMETER SYSTEM</t>
  </si>
  <si>
    <t>TOW COUPLE SHEAR PANEL</t>
  </si>
  <si>
    <t>SENSOR DEPLOYMENT CABLE</t>
  </si>
  <si>
    <t>WINDSHIELD WIPER SYSTEM</t>
  </si>
  <si>
    <t>Ready Active/Passive Countermeasures Mission Systems</t>
  </si>
  <si>
    <t>MH-60S (Active/Passive Countermeasures Mission Systems) (EOC E)</t>
  </si>
  <si>
    <t>AUDIO MANAGEMENT COMPUTER (AMC) W/LINK-16 J VOICE</t>
  </si>
  <si>
    <t>COUNTERMEASURE DISPENSING SET (AN/ALE-47)</t>
  </si>
  <si>
    <t>DISTRIBUTED APERTURE INFRARED COUNTERMEASURE (DAIRCM/AN/AAQ-45)</t>
  </si>
  <si>
    <t>EMERGENCY JETTISON PANEL</t>
  </si>
  <si>
    <t>INTERFACE UNIT AUTOMATIC DATA PROCESSOR(IUADP/PIU)(CABIN)</t>
  </si>
  <si>
    <t>LINK-16 MULTIFUNCTIONAL INFORMATION DISTRIBUTION SYSTEM</t>
  </si>
  <si>
    <t>MISSILE WARNING SYSTEM (AN/AAR-47)</t>
  </si>
  <si>
    <t>RADAR SIGNAL DETECTING SET (AN/APR-39)</t>
  </si>
  <si>
    <t>SATCOM</t>
  </si>
  <si>
    <t>Ready CSAR, SUW, and Spec Warfare Mission Systems</t>
  </si>
  <si>
    <t>MH-60S  (CSAR, SUW, and Spec Warfare Mission Systems) (EOC F)</t>
  </si>
  <si>
    <t>ADVANCED DATA TRANSFER SYSTEM</t>
  </si>
  <si>
    <t>ARMORED SEATS</t>
  </si>
  <si>
    <t>CREW SERVED WEAPONS</t>
  </si>
  <si>
    <t>DIGITAL MAP SYSTEM</t>
  </si>
  <si>
    <t>DOWNED AVIATOR LOCATOR SYSTEM (DALS)</t>
  </si>
  <si>
    <t>EXTENDED RANGE FUEL SYSTEM (ERFS) (1 OF 2 REQUIRED)</t>
  </si>
  <si>
    <t>HEADS UP DISPLAY (AVS-7) (AS REQUIRED)</t>
  </si>
  <si>
    <t>HELICOPTER INFRARED SUPPRESSION SYSTEM (HIRSS)</t>
  </si>
  <si>
    <t>HELMET DISPLAY AND TRACKING SYSTEM (HDTS) (AIRCRAFT MODIFIED BY AFC-471)</t>
  </si>
  <si>
    <t>INLET BARRIER FILTER SYSTEM</t>
  </si>
  <si>
    <t>MULTI FUNCTION RADIO (ARC-210) (2 REQUIRED)</t>
  </si>
  <si>
    <t>MULTI-SPECTRAL TARGETING SYSTEM (MTS)</t>
  </si>
  <si>
    <t>NVD ANTI COLLISION LIGHTS (1 REQUIRED)</t>
  </si>
  <si>
    <t>NVD SEARCH LIGHT</t>
  </si>
  <si>
    <t>NVD FORM LIGHTS (ALL REQUIRED)</t>
  </si>
  <si>
    <t>WIRE STRIKE SYSTEM</t>
  </si>
  <si>
    <t>Ready Personnel Transport Mission Systems</t>
  </si>
  <si>
    <t>MH-60S (Personnel Transport Mission Systems) (EOC G)</t>
  </si>
  <si>
    <t>EMERGENCY EGRESS LIGHTING SYSTEMS (ALL REQUIRED)</t>
  </si>
  <si>
    <t>TROOP SEATS AND TROOP SEAT SAFETY BELTS</t>
  </si>
  <si>
    <t>Ready SAR\MEDIVAC Mission Systems</t>
  </si>
  <si>
    <t>MH-60S (SAR\MEDIVAC Mission Systems) (EOC H)</t>
  </si>
  <si>
    <t>AFCS (COUPLED HOVER FUNCTION REQUIRED)</t>
  </si>
  <si>
    <t xml:space="preserve">EXTENDED RANGE FUEL SYSTEM (ERFS) </t>
  </si>
  <si>
    <t>HOIST STATION ICS</t>
  </si>
  <si>
    <t>RADAR ALTIMITER SYSTEM</t>
  </si>
  <si>
    <t>RESCUE HOIST (INCLUDING EXPLOSIVE DEVICES)</t>
  </si>
  <si>
    <t>SEARCH LIGHT/HOIST LIGHT/LANDING LIGHT (2 OF 3 REQUIRED FOR NIGHT SAR)</t>
  </si>
  <si>
    <t>UNDERWATER AIRCRAFT LOCATOR BEACON (1 REQUIRED)</t>
  </si>
  <si>
    <t>Ready Mission Support Systems</t>
  </si>
  <si>
    <t>MH-60S (Ready Mission Support Systems) (EOC I)</t>
  </si>
  <si>
    <t>ENVIRONMENTAL CONTROL SYSTEM</t>
  </si>
  <si>
    <t>IETMS CONTROL PANEL</t>
  </si>
  <si>
    <t>IMDS (VIBRATION ANALYSIS FUNCTION ONLY)</t>
  </si>
  <si>
    <t>TRACKBALL, DATA ENTRY (PD WRA) (2 REQUIRED)</t>
  </si>
  <si>
    <t>WINTERIZATION KIT</t>
  </si>
  <si>
    <t>Ready Fixed Forward Firing Systems</t>
  </si>
  <si>
    <t>MH-60S (Ready Fixed Forward Firing Systems) (EOC J)</t>
  </si>
  <si>
    <t>ARMAMENT CONTROL INDICATOR</t>
  </si>
  <si>
    <t>CYCLIC STICK (ONE WPNS FIRE SWITCH REQUIRED)</t>
  </si>
  <si>
    <t xml:space="preserve">EMERGENCY JETTISON PANEL  </t>
  </si>
  <si>
    <t>EXTERNAL WEAPONS MOUNT SYSTEM WITH BRU-65A (INCLUDING EXPLOSIVE DEVICES)</t>
  </si>
  <si>
    <t>FIXED FORWARD FIRING WEAPONS KIT</t>
  </si>
  <si>
    <t>HELLFIRE MISSILE LAUNCHER (M-299)</t>
  </si>
  <si>
    <t>INTERFACE UNIT AUTOMATIC DATA PROCESSOR (IUADP/PIU) (ONE PER BRU STATION)</t>
  </si>
  <si>
    <t xml:space="preserve">MISSION COMPUTER </t>
  </si>
  <si>
    <t>STORES MANAGEMENT SIGNAL DATA CONVERTER</t>
  </si>
  <si>
    <t>TECH INSERT INTERFACE UNIT AUTOMATIC DATA PROCESSOR (IUAPD/PIU) (CABIN STATIONS) (AIRCRAFT MODIFIED BY AFC-471)</t>
  </si>
  <si>
    <t>Ready Shipboard Mission Systems</t>
  </si>
  <si>
    <t>MH-60S (Shipboard Mission Systems) (EOC K)</t>
  </si>
  <si>
    <t xml:space="preserve">AFCS (RAD ALT OR BAR ALT HOLD REQUIRED) </t>
  </si>
  <si>
    <t>AFT CABIN ICS (1 REQUIRED)</t>
  </si>
  <si>
    <t>BLADE FOLD</t>
  </si>
  <si>
    <t>DATA TRANSFER SYSTEM</t>
  </si>
  <si>
    <t>FUEL DUMP</t>
  </si>
  <si>
    <t>PARKING BRAKE</t>
  </si>
  <si>
    <t>PRESSURE REFUELING</t>
  </si>
  <si>
    <t>ROTOR BRAKE</t>
  </si>
  <si>
    <t>SECURE IFF TRANSPONDER (MODE 4 OR MODE 5 REQUIRED)</t>
  </si>
  <si>
    <t>TACAN (LWR ANTENNA REQUIRED)</t>
  </si>
  <si>
    <t>TAIL WHEEL LOCK</t>
  </si>
  <si>
    <t>TAIL PYLON FOLD</t>
  </si>
  <si>
    <t>Ready IMC Flight Mission Systems</t>
  </si>
  <si>
    <t>MH-60S (Ready IMC Flight Mission Systems) (EOC L)</t>
  </si>
  <si>
    <t>AFCS (SAS 2, TRIM AND AUTOPILOT REQUIRED)</t>
  </si>
  <si>
    <t>BACK-UP INSTRUMENTS (A/S, ATT, BAR ALT, STANDBY COMPASS)</t>
  </si>
  <si>
    <t>CLOCK, DIGITAL (COCKPIT) OR TIMER ON FLIGHT DISPLAY</t>
  </si>
  <si>
    <t>COCKPIT/INSTRUMENT LIGHTING</t>
  </si>
  <si>
    <t>DATA CONCENTRATOR (2 REQUIRED)</t>
  </si>
  <si>
    <t>EMBEDDED GPS/INS (2 REQUIRED)</t>
  </si>
  <si>
    <t>GAS-1 ANTENNA SYSTEM</t>
  </si>
  <si>
    <t>IFF TRANSPONDER</t>
  </si>
  <si>
    <t>LOW ALTITUDE WARNING SYSTEM (LAWS)</t>
  </si>
  <si>
    <t>MISSION DISPLAYS (2 REQUIRED)</t>
  </si>
  <si>
    <t>NAVIGATION/POSITION LIGHTING (NON-NVG) (3 REQUIRED)</t>
  </si>
  <si>
    <t>PITOT HEAT</t>
  </si>
  <si>
    <t>RADAR ALTIMETER (ON BOTH FLIGHT DISPLAYS)</t>
  </si>
  <si>
    <t>ROTOR DE-ICE (MAIN/TAIL)</t>
  </si>
  <si>
    <t>SLIP/SKID INDICATOR (ON BOTH FLIGHT DISPLAYS)</t>
  </si>
  <si>
    <t>TACAN</t>
  </si>
  <si>
    <t>VOR/ILS</t>
  </si>
  <si>
    <t>WINDSHIELD ANTI-ICE</t>
  </si>
  <si>
    <t>See Definitions Tab</t>
  </si>
  <si>
    <t>Non-Integrated Mission Systems (INVENTORY ITEMS)</t>
  </si>
  <si>
    <t>Mission Systems TOOLS TITLES</t>
  </si>
  <si>
    <t>CONFIGURATIONS THAT APPLY</t>
  </si>
  <si>
    <t>M-299 Launcher</t>
  </si>
  <si>
    <t>20-mm Gun</t>
  </si>
  <si>
    <t>GAU-21 Machine Gun</t>
  </si>
  <si>
    <t>M-240 Machine Gun</t>
  </si>
  <si>
    <t>Full Motion Video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</si>
</sst>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409]d\-mmm\-yy;@"/>
    <numFmt numFmtId="167" formatCode="_(* #,##0.0_);_(* \(#,##0.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
      <sz val="14"/>
      <name val="Calibri"/>
      <family val="2"/>
      <scheme val="minor"/>
    </font>
    <font>
      <sz val="8"/>
      <name val="Calibri"/>
      <family val="2"/>
      <scheme val="minor"/>
    </font>
    <font>
      <b/>
      <sz val="8"/>
      <name val="Calibri"/>
      <family val="2"/>
      <scheme val="minor"/>
    </font>
    <font>
      <sz val="6"/>
      <name val="Calibri"/>
      <family val="2"/>
      <scheme val="minor"/>
    </font>
    <font>
      <sz val="9"/>
      <name val="Calibri"/>
      <family val="2"/>
      <scheme val="minor"/>
    </font>
    <font>
      <b/>
      <i/>
      <sz val="9"/>
      <name val="Calibri"/>
      <family val="2"/>
      <scheme val="minor"/>
    </font>
    <font>
      <sz val="9"/>
      <color indexed="10"/>
      <name val="Calibri"/>
      <family val="2"/>
      <scheme val="minor"/>
    </font>
    <font>
      <b/>
      <sz val="9"/>
      <name val="Calibri"/>
      <family val="2"/>
      <scheme val="minor"/>
    </font>
    <font>
      <b/>
      <i/>
      <sz val="10"/>
      <name val="Calibri"/>
      <family val="2"/>
      <scheme val="minor"/>
    </font>
    <font>
      <sz val="9"/>
      <color indexed="8"/>
      <name val="Calibri"/>
      <family val="2"/>
      <scheme val="minor"/>
    </font>
    <font>
      <b/>
      <sz val="9"/>
      <color indexed="12"/>
      <name val="Calibri"/>
      <family val="2"/>
      <scheme val="minor"/>
    </font>
    <font>
      <sz val="8"/>
      <color indexed="14"/>
      <name val="Calibri"/>
      <family val="2"/>
      <scheme val="minor"/>
    </font>
    <font>
      <b/>
      <sz val="14"/>
      <name val="Calibri"/>
      <family val="2"/>
      <scheme val="minor"/>
    </font>
    <font>
      <sz val="10"/>
      <name val="Calibri"/>
      <family val="2"/>
      <scheme val="minor"/>
    </font>
    <font>
      <u/>
      <sz val="10"/>
      <color theme="10"/>
      <name val="Arial"/>
      <family val="2"/>
    </font>
    <font>
      <u/>
      <sz val="10"/>
      <color theme="10"/>
      <name val="Calibri"/>
      <family val="2"/>
      <scheme val="minor"/>
    </font>
    <font>
      <b/>
      <i/>
      <sz val="11"/>
      <name val="Calibri"/>
      <family val="2"/>
      <scheme val="minor"/>
    </font>
    <font>
      <sz val="11"/>
      <name val="Calibri"/>
      <family val="2"/>
      <scheme val="minor"/>
    </font>
    <font>
      <u/>
      <sz val="11"/>
      <color theme="10"/>
      <name val="Calibri"/>
      <family val="2"/>
      <scheme val="minor"/>
    </font>
    <font>
      <b/>
      <i/>
      <sz val="11"/>
      <color rgb="FF00CC00"/>
      <name val="Calibri"/>
      <family val="2"/>
      <scheme val="minor"/>
    </font>
    <font>
      <b/>
      <i/>
      <sz val="11"/>
      <color theme="1"/>
      <name val="Calibri"/>
      <family val="2"/>
      <scheme val="minor"/>
    </font>
    <font>
      <b/>
      <sz val="11"/>
      <name val="Calibri"/>
      <family val="2"/>
      <scheme val="minor"/>
    </font>
    <font>
      <b/>
      <sz val="9"/>
      <color indexed="81"/>
      <name val="Tahoma"/>
      <family val="2"/>
    </font>
    <font>
      <sz val="9"/>
      <color indexed="81"/>
      <name val="Tahoma"/>
      <family val="2"/>
    </font>
    <font>
      <sz val="9"/>
      <color theme="1"/>
      <name val="Calibri"/>
      <family val="2"/>
      <scheme val="minor"/>
    </font>
    <font>
      <sz val="12"/>
      <name val="Calibri"/>
      <family val="2"/>
      <scheme val="minor"/>
    </font>
    <font>
      <b/>
      <sz val="12"/>
      <name val="Calibri"/>
      <family val="2"/>
      <scheme val="minor"/>
    </font>
    <font>
      <b/>
      <sz val="10"/>
      <name val="Calibri"/>
      <family val="2"/>
      <scheme val="minor"/>
    </font>
    <font>
      <b/>
      <sz val="8"/>
      <color indexed="55"/>
      <name val="Calibri"/>
      <family val="2"/>
      <scheme val="minor"/>
    </font>
    <font>
      <sz val="8"/>
      <color indexed="55"/>
      <name val="Calibri"/>
      <family val="2"/>
      <scheme val="minor"/>
    </font>
    <font>
      <b/>
      <sz val="16"/>
      <name val="Calibri"/>
      <family val="2"/>
      <scheme val="minor"/>
    </font>
    <font>
      <u/>
      <sz val="11"/>
      <color theme="10"/>
      <name val="Calibri"/>
      <family val="2"/>
    </font>
    <font>
      <b/>
      <sz val="8"/>
      <name val="Arial"/>
      <family val="2"/>
    </font>
    <font>
      <u/>
      <sz val="9"/>
      <color theme="10"/>
      <name val="Calibri"/>
      <family val="2"/>
    </font>
    <font>
      <b/>
      <sz val="8"/>
      <color indexed="12"/>
      <name val="Calibri"/>
      <family val="2"/>
      <scheme val="minor"/>
    </font>
    <font>
      <u/>
      <sz val="9"/>
      <color theme="10"/>
      <name val="Calibri"/>
      <family val="2"/>
      <scheme val="minor"/>
    </font>
    <font>
      <sz val="6"/>
      <color indexed="14"/>
      <name val="Calibri"/>
      <family val="2"/>
      <scheme val="minor"/>
    </font>
    <font>
      <u/>
      <sz val="8"/>
      <color theme="10"/>
      <name val="Calibri"/>
      <family val="2"/>
      <scheme val="minor"/>
    </font>
    <font>
      <sz val="8"/>
      <name val="Calibri"/>
      <family val="2"/>
    </font>
    <font>
      <b/>
      <sz val="12"/>
      <color theme="1"/>
      <name val="Calibri"/>
      <family val="2"/>
      <scheme val="minor"/>
    </font>
    <font>
      <sz val="10"/>
      <color rgb="FF0A0101"/>
      <name val="Calibri"/>
      <family val="2"/>
      <scheme val="minor"/>
    </font>
    <font>
      <b/>
      <sz val="14"/>
      <name val="Arial"/>
      <family val="2"/>
    </font>
    <font>
      <b/>
      <sz val="10"/>
      <color indexed="8"/>
      <name val="Arial"/>
      <family val="2"/>
    </font>
    <font>
      <b/>
      <sz val="10"/>
      <color theme="1"/>
      <name val="Arial"/>
      <family val="2"/>
    </font>
    <font>
      <b/>
      <sz val="10"/>
      <name val="Arial"/>
      <family val="2"/>
    </font>
  </fonts>
  <fills count="1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
      <patternFill patternType="solid">
        <fgColor indexed="22"/>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66FF66"/>
        <bgColor indexed="64"/>
      </patternFill>
    </fill>
    <fill>
      <patternFill patternType="solid">
        <fgColor rgb="FFFFFF99"/>
        <bgColor indexed="64"/>
      </patternFill>
    </fill>
    <fill>
      <patternFill patternType="solid">
        <fgColor rgb="FFFF7979"/>
        <bgColor indexed="64"/>
      </patternFill>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top/>
      <bottom style="medium">
        <color indexed="64"/>
      </bottom>
      <diagonal/>
    </border>
  </borders>
  <cellStyleXfs count="42">
    <xf numFmtId="0" fontId="0" fillId="0" borderId="0"/>
    <xf numFmtId="0" fontId="7" fillId="2" borderId="1">
      <alignment horizontal="center" textRotation="90"/>
    </xf>
    <xf numFmtId="0" fontId="7" fillId="0" borderId="0">
      <alignment textRotation="90"/>
    </xf>
    <xf numFmtId="9" fontId="7" fillId="0" borderId="0" applyFont="0" applyFill="0" applyBorder="0" applyAlignment="0" applyProtection="0"/>
    <xf numFmtId="0" fontId="7" fillId="0" borderId="0"/>
    <xf numFmtId="0" fontId="7" fillId="0" borderId="0"/>
    <xf numFmtId="0" fontId="6" fillId="0" borderId="0"/>
    <xf numFmtId="9" fontId="6"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5" fillId="0" borderId="0"/>
    <xf numFmtId="9" fontId="5" fillId="0" borderId="0" applyFont="0" applyFill="0" applyBorder="0" applyAlignment="0" applyProtection="0"/>
    <xf numFmtId="0" fontId="29" fillId="0" borderId="0" applyNumberFormat="0" applyFill="0" applyBorder="0" applyAlignment="0" applyProtection="0">
      <alignment vertical="top"/>
      <protection locked="0"/>
    </xf>
    <xf numFmtId="43" fontId="7"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25"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7" fillId="0" borderId="0"/>
    <xf numFmtId="0" fontId="3" fillId="0" borderId="0"/>
    <xf numFmtId="0" fontId="2" fillId="0" borderId="0"/>
    <xf numFmtId="9" fontId="2" fillId="0" borderId="0" applyFont="0" applyFill="0" applyBorder="0" applyAlignment="0" applyProtection="0"/>
    <xf numFmtId="0" fontId="25" fillId="0" borderId="0" applyNumberFormat="0" applyFill="0" applyBorder="0" applyAlignment="0" applyProtection="0">
      <alignment vertical="top"/>
      <protection locked="0"/>
    </xf>
    <xf numFmtId="0" fontId="1" fillId="0" borderId="0"/>
    <xf numFmtId="0" fontId="7" fillId="0" borderId="0"/>
  </cellStyleXfs>
  <cellXfs count="824">
    <xf numFmtId="0" fontId="0" fillId="0" borderId="0" xfId="0"/>
    <xf numFmtId="0" fontId="11" fillId="3" borderId="0" xfId="5" applyFont="1" applyFill="1" applyAlignment="1">
      <alignment horizontal="center"/>
    </xf>
    <xf numFmtId="164" fontId="12" fillId="0" borderId="0" xfId="5" applyNumberFormat="1" applyFont="1" applyFill="1" applyAlignment="1">
      <alignment horizontal="right"/>
    </xf>
    <xf numFmtId="0" fontId="12" fillId="0" borderId="0" xfId="4" applyFont="1" applyBorder="1"/>
    <xf numFmtId="1" fontId="12" fillId="3" borderId="0" xfId="4" applyNumberFormat="1" applyFont="1" applyFill="1" applyBorder="1" applyAlignment="1"/>
    <xf numFmtId="1" fontId="12" fillId="0" borderId="0" xfId="4" applyNumberFormat="1" applyFont="1" applyBorder="1" applyAlignment="1"/>
    <xf numFmtId="1" fontId="12" fillId="3" borderId="0" xfId="4" applyNumberFormat="1" applyFont="1" applyFill="1" applyBorder="1" applyAlignment="1">
      <alignment horizontal="right"/>
    </xf>
    <xf numFmtId="0" fontId="12" fillId="3" borderId="0" xfId="5" applyFont="1" applyFill="1" applyAlignment="1">
      <alignment horizontal="right"/>
    </xf>
    <xf numFmtId="0" fontId="12" fillId="3" borderId="0" xfId="5" applyFont="1" applyFill="1"/>
    <xf numFmtId="164" fontId="12" fillId="0" borderId="0" xfId="5" applyNumberFormat="1" applyFont="1" applyFill="1"/>
    <xf numFmtId="0" fontId="12" fillId="0" borderId="0" xfId="5" applyFont="1" applyAlignment="1">
      <alignment horizontal="right"/>
    </xf>
    <xf numFmtId="164" fontId="12" fillId="3" borderId="0" xfId="5" applyNumberFormat="1" applyFont="1" applyFill="1"/>
    <xf numFmtId="164" fontId="14" fillId="0" borderId="0" xfId="4" applyNumberFormat="1" applyFont="1" applyBorder="1" applyAlignment="1">
      <alignment horizontal="right"/>
    </xf>
    <xf numFmtId="164" fontId="13" fillId="0" borderId="0" xfId="5" applyNumberFormat="1" applyFont="1" applyFill="1" applyBorder="1"/>
    <xf numFmtId="164" fontId="12" fillId="0" borderId="0" xfId="5" applyNumberFormat="1" applyFont="1" applyFill="1" applyBorder="1"/>
    <xf numFmtId="0" fontId="12" fillId="0" borderId="0" xfId="5" applyFont="1" applyFill="1" applyBorder="1"/>
    <xf numFmtId="164" fontId="12" fillId="3" borderId="0" xfId="8" applyNumberFormat="1" applyFont="1" applyFill="1" applyBorder="1"/>
    <xf numFmtId="164" fontId="12" fillId="3" borderId="0" xfId="5" applyNumberFormat="1" applyFont="1" applyFill="1" applyBorder="1" applyAlignment="1">
      <alignment horizontal="right"/>
    </xf>
    <xf numFmtId="164" fontId="12" fillId="3" borderId="0" xfId="5" applyNumberFormat="1" applyFont="1" applyFill="1" applyAlignment="1">
      <alignment horizontal="right"/>
    </xf>
    <xf numFmtId="164" fontId="12" fillId="0" borderId="0" xfId="5" quotePrefix="1" applyNumberFormat="1" applyFont="1" applyAlignment="1">
      <alignment horizontal="right"/>
    </xf>
    <xf numFmtId="164" fontId="12" fillId="3" borderId="0" xfId="8" applyNumberFormat="1" applyFont="1" applyFill="1"/>
    <xf numFmtId="164" fontId="12" fillId="0" borderId="0" xfId="5" applyNumberFormat="1" applyFont="1" applyFill="1" applyBorder="1" applyAlignment="1">
      <alignment vertical="center"/>
    </xf>
    <xf numFmtId="0" fontId="12" fillId="0" borderId="0" xfId="5" applyFont="1" applyFill="1" applyBorder="1" applyAlignment="1">
      <alignment vertical="center"/>
    </xf>
    <xf numFmtId="164" fontId="12" fillId="0" borderId="0" xfId="8" applyNumberFormat="1" applyFont="1" applyFill="1"/>
    <xf numFmtId="0" fontId="12" fillId="3" borderId="0" xfId="8" applyFont="1" applyFill="1"/>
    <xf numFmtId="9" fontId="12" fillId="0" borderId="0" xfId="5" applyNumberFormat="1" applyFont="1" applyFill="1"/>
    <xf numFmtId="0" fontId="15" fillId="0" borderId="0" xfId="5" applyFont="1" applyFill="1" applyAlignment="1">
      <alignment horizontal="center"/>
    </xf>
    <xf numFmtId="0" fontId="15" fillId="0" borderId="0" xfId="5" applyFont="1" applyAlignment="1">
      <alignment horizontal="center"/>
    </xf>
    <xf numFmtId="0" fontId="15" fillId="0" borderId="0" xfId="5" applyFont="1"/>
    <xf numFmtId="0" fontId="16" fillId="0" borderId="1" xfId="5" applyFont="1" applyFill="1" applyBorder="1"/>
    <xf numFmtId="0" fontId="15" fillId="0" borderId="6" xfId="5" applyFont="1" applyBorder="1"/>
    <xf numFmtId="0" fontId="15" fillId="0" borderId="6" xfId="5" applyFont="1" applyBorder="1" applyAlignment="1">
      <alignment horizontal="centerContinuous" vertical="center"/>
    </xf>
    <xf numFmtId="0" fontId="15" fillId="0" borderId="6" xfId="5" applyFont="1" applyBorder="1" applyAlignment="1">
      <alignment horizontal="center" vertical="center"/>
    </xf>
    <xf numFmtId="0" fontId="15" fillId="0" borderId="4" xfId="5" applyFont="1" applyBorder="1" applyAlignment="1">
      <alignment horizontal="centerContinuous" vertical="center"/>
    </xf>
    <xf numFmtId="0" fontId="15" fillId="0" borderId="1" xfId="5" applyFont="1" applyBorder="1"/>
    <xf numFmtId="9" fontId="15" fillId="0" borderId="1" xfId="3" applyFont="1" applyFill="1" applyBorder="1" applyAlignment="1">
      <alignment horizontal="center"/>
    </xf>
    <xf numFmtId="0" fontId="15" fillId="0" borderId="1" xfId="5" applyFont="1" applyFill="1" applyBorder="1"/>
    <xf numFmtId="167" fontId="15" fillId="0" borderId="1" xfId="9" applyNumberFormat="1" applyFont="1" applyFill="1" applyBorder="1" applyAlignment="1">
      <alignment horizontal="center"/>
    </xf>
    <xf numFmtId="0" fontId="15" fillId="0" borderId="0" xfId="5" applyFont="1" applyFill="1" applyAlignment="1">
      <alignment horizontal="right"/>
    </xf>
    <xf numFmtId="167" fontId="15" fillId="0" borderId="5" xfId="9" applyNumberFormat="1" applyFont="1" applyFill="1" applyBorder="1" applyAlignment="1">
      <alignment horizontal="center"/>
    </xf>
    <xf numFmtId="0" fontId="15" fillId="0" borderId="0" xfId="5" applyFont="1" applyFill="1"/>
    <xf numFmtId="167" fontId="15" fillId="0" borderId="15" xfId="9" applyNumberFormat="1" applyFont="1" applyFill="1" applyBorder="1" applyAlignment="1">
      <alignment horizontal="center"/>
    </xf>
    <xf numFmtId="164" fontId="17" fillId="0" borderId="6" xfId="5" applyNumberFormat="1" applyFont="1" applyFill="1" applyBorder="1" applyAlignment="1">
      <alignment horizontal="center"/>
    </xf>
    <xf numFmtId="9" fontId="15" fillId="0" borderId="1" xfId="3" applyFont="1" applyBorder="1" applyAlignment="1">
      <alignment horizontal="center"/>
    </xf>
    <xf numFmtId="2" fontId="15" fillId="0" borderId="1" xfId="5" applyNumberFormat="1" applyFont="1" applyFill="1" applyBorder="1" applyAlignment="1">
      <alignment horizontal="center"/>
    </xf>
    <xf numFmtId="2" fontId="15" fillId="0" borderId="1" xfId="4" applyNumberFormat="1" applyFont="1" applyFill="1" applyBorder="1" applyAlignment="1">
      <alignment horizontal="center" vertical="center"/>
    </xf>
    <xf numFmtId="2" fontId="15" fillId="0" borderId="1" xfId="4" applyNumberFormat="1" applyFont="1" applyFill="1" applyBorder="1" applyAlignment="1">
      <alignment horizontal="center"/>
    </xf>
    <xf numFmtId="2" fontId="15" fillId="0" borderId="6" xfId="4" applyNumberFormat="1" applyFont="1" applyBorder="1" applyAlignment="1">
      <alignment horizontal="center"/>
    </xf>
    <xf numFmtId="2" fontId="15" fillId="0" borderId="6" xfId="4" applyNumberFormat="1" applyFont="1" applyBorder="1" applyAlignment="1" applyProtection="1">
      <alignment horizontal="center"/>
      <protection locked="0"/>
    </xf>
    <xf numFmtId="2" fontId="15" fillId="3" borderId="6" xfId="4" applyNumberFormat="1" applyFont="1" applyFill="1" applyBorder="1" applyAlignment="1">
      <alignment horizontal="center"/>
    </xf>
    <xf numFmtId="2" fontId="15" fillId="0" borderId="6" xfId="4" applyNumberFormat="1" applyFont="1" applyFill="1" applyBorder="1" applyAlignment="1">
      <alignment horizontal="center" vertical="center"/>
    </xf>
    <xf numFmtId="2" fontId="15" fillId="3" borderId="4" xfId="4" applyNumberFormat="1" applyFont="1" applyFill="1" applyBorder="1" applyAlignment="1">
      <alignment horizontal="center"/>
    </xf>
    <xf numFmtId="2" fontId="15" fillId="4" borderId="1" xfId="4" applyNumberFormat="1" applyFont="1" applyFill="1" applyBorder="1" applyAlignment="1">
      <alignment horizontal="center"/>
    </xf>
    <xf numFmtId="0" fontId="20" fillId="0" borderId="6" xfId="5" applyFont="1" applyBorder="1" applyAlignment="1">
      <alignment horizontal="center"/>
    </xf>
    <xf numFmtId="0" fontId="16" fillId="5" borderId="13" xfId="5" applyFont="1" applyFill="1" applyBorder="1" applyAlignment="1">
      <alignment horizontal="right"/>
    </xf>
    <xf numFmtId="2" fontId="15" fillId="5" borderId="1" xfId="5" applyNumberFormat="1" applyFont="1" applyFill="1" applyBorder="1" applyAlignment="1">
      <alignment horizontal="center"/>
    </xf>
    <xf numFmtId="2" fontId="15" fillId="5" borderId="14" xfId="5" applyNumberFormat="1" applyFont="1" applyFill="1" applyBorder="1" applyAlignment="1">
      <alignment horizontal="center"/>
    </xf>
    <xf numFmtId="0" fontId="16" fillId="5" borderId="18" xfId="5" applyFont="1" applyFill="1" applyBorder="1" applyAlignment="1">
      <alignment horizontal="right"/>
    </xf>
    <xf numFmtId="2" fontId="15" fillId="5" borderId="19" xfId="5" applyNumberFormat="1" applyFont="1" applyFill="1" applyBorder="1" applyAlignment="1">
      <alignment horizontal="center"/>
    </xf>
    <xf numFmtId="2" fontId="15" fillId="5" borderId="20" xfId="5" applyNumberFormat="1" applyFont="1" applyFill="1" applyBorder="1" applyAlignment="1">
      <alignment horizontal="center"/>
    </xf>
    <xf numFmtId="0" fontId="15" fillId="0" borderId="0" xfId="4" applyFont="1" applyFill="1" applyBorder="1" applyAlignment="1"/>
    <xf numFmtId="0" fontId="15" fillId="0" borderId="0" xfId="5" applyFont="1" applyFill="1" applyBorder="1"/>
    <xf numFmtId="0" fontId="15" fillId="0" borderId="0" xfId="4" applyFont="1" applyFill="1" applyBorder="1"/>
    <xf numFmtId="1" fontId="20" fillId="0" borderId="0" xfId="4" applyNumberFormat="1" applyFont="1" applyFill="1" applyBorder="1" applyAlignment="1"/>
    <xf numFmtId="0" fontId="20" fillId="0" borderId="0" xfId="4" applyFont="1" applyFill="1" applyBorder="1" applyAlignment="1"/>
    <xf numFmtId="164" fontId="12" fillId="0" borderId="0" xfId="5" applyNumberFormat="1" applyFont="1" applyAlignment="1">
      <alignment horizontal="right"/>
    </xf>
    <xf numFmtId="0" fontId="15" fillId="0" borderId="1" xfId="0" applyFont="1" applyFill="1" applyBorder="1" applyAlignment="1">
      <alignment horizontal="right"/>
    </xf>
    <xf numFmtId="0" fontId="15" fillId="0" borderId="1" xfId="0" applyFont="1" applyFill="1" applyBorder="1" applyAlignment="1">
      <alignment horizontal="center" textRotation="90"/>
    </xf>
    <xf numFmtId="0" fontId="15" fillId="0" borderId="0" xfId="4" applyFont="1" applyFill="1"/>
    <xf numFmtId="2" fontId="18" fillId="5" borderId="1" xfId="5" applyNumberFormat="1" applyFont="1" applyFill="1" applyBorder="1" applyAlignment="1">
      <alignment horizontal="center"/>
    </xf>
    <xf numFmtId="2" fontId="18" fillId="5" borderId="14" xfId="5" applyNumberFormat="1" applyFont="1" applyFill="1" applyBorder="1" applyAlignment="1">
      <alignment horizontal="center"/>
    </xf>
    <xf numFmtId="9" fontId="15" fillId="0" borderId="2" xfId="3" applyFont="1" applyFill="1" applyBorder="1" applyAlignment="1">
      <alignment horizontal="center"/>
    </xf>
    <xf numFmtId="0" fontId="15" fillId="3" borderId="0" xfId="4" applyFont="1" applyFill="1"/>
    <xf numFmtId="0" fontId="15" fillId="0" borderId="0" xfId="12" applyFont="1" applyFill="1" applyBorder="1" applyAlignment="1">
      <alignment horizontal="center"/>
    </xf>
    <xf numFmtId="0" fontId="15" fillId="0" borderId="0" xfId="4" applyFont="1" applyBorder="1" applyAlignment="1">
      <alignment horizontal="center"/>
    </xf>
    <xf numFmtId="0" fontId="15" fillId="0" borderId="0" xfId="4" applyFont="1"/>
    <xf numFmtId="0" fontId="15" fillId="0" borderId="0" xfId="12" applyFont="1" applyFill="1" applyBorder="1" applyAlignment="1">
      <alignment horizontal="left"/>
    </xf>
    <xf numFmtId="0" fontId="15" fillId="0" borderId="0" xfId="12" applyFont="1" applyFill="1" applyBorder="1" applyAlignment="1"/>
    <xf numFmtId="0" fontId="15" fillId="5" borderId="21" xfId="5" applyFont="1" applyFill="1" applyBorder="1" applyAlignment="1">
      <alignment horizontal="right"/>
    </xf>
    <xf numFmtId="2" fontId="21" fillId="5" borderId="22" xfId="5" applyNumberFormat="1" applyFont="1" applyFill="1" applyBorder="1" applyAlignment="1">
      <alignment horizontal="right"/>
    </xf>
    <xf numFmtId="0" fontId="15" fillId="5" borderId="18" xfId="5" applyFont="1" applyFill="1" applyBorder="1" applyAlignment="1">
      <alignment horizontal="right"/>
    </xf>
    <xf numFmtId="2" fontId="21" fillId="5" borderId="20" xfId="5" applyNumberFormat="1" applyFont="1" applyFill="1" applyBorder="1" applyAlignment="1">
      <alignment horizontal="right"/>
    </xf>
    <xf numFmtId="0" fontId="15" fillId="0" borderId="0" xfId="5" applyFont="1" applyBorder="1"/>
    <xf numFmtId="0" fontId="15" fillId="0" borderId="15" xfId="5" applyFont="1" applyBorder="1"/>
    <xf numFmtId="0" fontId="15" fillId="0" borderId="7" xfId="5" applyFont="1" applyFill="1" applyBorder="1"/>
    <xf numFmtId="2" fontId="15" fillId="0" borderId="5" xfId="4" applyNumberFormat="1" applyFont="1" applyFill="1" applyBorder="1" applyAlignment="1">
      <alignment horizontal="center"/>
    </xf>
    <xf numFmtId="2" fontId="15" fillId="0" borderId="3" xfId="4" applyNumberFormat="1" applyFont="1" applyBorder="1" applyAlignment="1">
      <alignment horizontal="center"/>
    </xf>
    <xf numFmtId="0" fontId="15" fillId="0" borderId="4" xfId="5" applyFont="1" applyBorder="1"/>
    <xf numFmtId="0" fontId="15" fillId="5" borderId="21" xfId="16" applyFont="1" applyFill="1" applyBorder="1"/>
    <xf numFmtId="1" fontId="20" fillId="5" borderId="22" xfId="16" applyNumberFormat="1" applyFont="1" applyFill="1" applyBorder="1" applyAlignment="1">
      <alignment horizontal="center"/>
    </xf>
    <xf numFmtId="0" fontId="15" fillId="5" borderId="13" xfId="16" applyFont="1" applyFill="1" applyBorder="1"/>
    <xf numFmtId="0" fontId="20" fillId="5" borderId="14" xfId="16" applyFont="1" applyFill="1" applyBorder="1" applyAlignment="1">
      <alignment horizontal="center"/>
    </xf>
    <xf numFmtId="0" fontId="15" fillId="5" borderId="18" xfId="16" applyFont="1" applyFill="1" applyBorder="1"/>
    <xf numFmtId="0" fontId="15" fillId="5" borderId="20" xfId="16" applyFont="1" applyFill="1" applyBorder="1" applyAlignment="1">
      <alignment horizontal="center" vertical="center"/>
    </xf>
    <xf numFmtId="0" fontId="15" fillId="5" borderId="14" xfId="16" applyFont="1" applyFill="1" applyBorder="1" applyAlignment="1">
      <alignment horizontal="center"/>
    </xf>
    <xf numFmtId="0" fontId="12" fillId="0" borderId="0" xfId="0" applyFont="1" applyFill="1" applyBorder="1" applyAlignment="1">
      <alignment horizontal="right"/>
    </xf>
    <xf numFmtId="1" fontId="12" fillId="0" borderId="0" xfId="0" applyNumberFormat="1" applyFont="1" applyFill="1" applyBorder="1" applyAlignment="1">
      <alignment horizontal="center"/>
    </xf>
    <xf numFmtId="164" fontId="12" fillId="0" borderId="0" xfId="0" applyNumberFormat="1" applyFont="1" applyFill="1" applyBorder="1" applyAlignment="1">
      <alignment horizontal="center"/>
    </xf>
    <xf numFmtId="9" fontId="15" fillId="0" borderId="1" xfId="3" applyNumberFormat="1" applyFont="1" applyFill="1" applyBorder="1" applyAlignment="1">
      <alignment horizontal="center"/>
    </xf>
    <xf numFmtId="2" fontId="15" fillId="0" borderId="4" xfId="4" applyNumberFormat="1" applyFont="1" applyBorder="1" applyAlignment="1">
      <alignment horizontal="center"/>
    </xf>
    <xf numFmtId="2" fontId="15" fillId="0" borderId="0" xfId="5" applyNumberFormat="1" applyFont="1"/>
    <xf numFmtId="2" fontId="15" fillId="5" borderId="1" xfId="16" applyNumberFormat="1" applyFont="1" applyFill="1" applyBorder="1" applyAlignment="1">
      <alignment horizontal="center"/>
    </xf>
    <xf numFmtId="2" fontId="18" fillId="5" borderId="1" xfId="16" applyNumberFormat="1" applyFont="1" applyFill="1" applyBorder="1" applyAlignment="1">
      <alignment horizontal="center"/>
    </xf>
    <xf numFmtId="2" fontId="15" fillId="5" borderId="19" xfId="16" applyNumberFormat="1" applyFont="1" applyFill="1" applyBorder="1" applyAlignment="1">
      <alignment horizontal="center"/>
    </xf>
    <xf numFmtId="2" fontId="21" fillId="5" borderId="22" xfId="16" applyNumberFormat="1" applyFont="1" applyFill="1" applyBorder="1" applyAlignment="1">
      <alignment horizontal="right"/>
    </xf>
    <xf numFmtId="0" fontId="15" fillId="0" borderId="0" xfId="16" applyFont="1"/>
    <xf numFmtId="2" fontId="21" fillId="5" borderId="20" xfId="16" applyNumberFormat="1" applyFont="1" applyFill="1" applyBorder="1" applyAlignment="1">
      <alignment horizontal="right"/>
    </xf>
    <xf numFmtId="0" fontId="16" fillId="0" borderId="0" xfId="5" applyFont="1" applyFill="1" applyBorder="1" applyAlignment="1"/>
    <xf numFmtId="2" fontId="15" fillId="0" borderId="0" xfId="5" applyNumberFormat="1" applyFont="1" applyFill="1" applyBorder="1" applyAlignment="1">
      <alignment horizontal="center"/>
    </xf>
    <xf numFmtId="2" fontId="18" fillId="0" borderId="0" xfId="5" applyNumberFormat="1" applyFont="1" applyFill="1" applyBorder="1" applyAlignment="1">
      <alignment horizontal="center"/>
    </xf>
    <xf numFmtId="0" fontId="15" fillId="0" borderId="3" xfId="5" applyFont="1" applyBorder="1"/>
    <xf numFmtId="0" fontId="16" fillId="5" borderId="21" xfId="5" applyFont="1" applyFill="1" applyBorder="1" applyAlignment="1">
      <alignment horizontal="right"/>
    </xf>
    <xf numFmtId="2" fontId="15" fillId="5" borderId="5" xfId="5" applyNumberFormat="1" applyFont="1" applyFill="1" applyBorder="1" applyAlignment="1">
      <alignment horizontal="center"/>
    </xf>
    <xf numFmtId="2" fontId="15" fillId="5" borderId="22" xfId="5" applyNumberFormat="1" applyFont="1" applyFill="1" applyBorder="1" applyAlignment="1">
      <alignment horizontal="center"/>
    </xf>
    <xf numFmtId="164" fontId="17" fillId="0" borderId="3" xfId="5" applyNumberFormat="1" applyFont="1" applyFill="1" applyBorder="1" applyAlignment="1">
      <alignment horizontal="center"/>
    </xf>
    <xf numFmtId="0" fontId="15" fillId="0" borderId="6" xfId="5" applyFont="1" applyFill="1" applyBorder="1"/>
    <xf numFmtId="0" fontId="15" fillId="0" borderId="4" xfId="5" applyFont="1" applyFill="1" applyBorder="1"/>
    <xf numFmtId="0" fontId="20" fillId="0" borderId="3" xfId="5" applyFont="1" applyBorder="1" applyAlignment="1">
      <alignment horizontal="center"/>
    </xf>
    <xf numFmtId="0" fontId="15" fillId="0" borderId="6" xfId="4" applyFont="1" applyFill="1" applyBorder="1"/>
    <xf numFmtId="1" fontId="20" fillId="5" borderId="27" xfId="16" applyNumberFormat="1" applyFont="1" applyFill="1" applyBorder="1" applyAlignment="1">
      <alignment horizontal="center"/>
    </xf>
    <xf numFmtId="1" fontId="20" fillId="5" borderId="14" xfId="16" applyNumberFormat="1" applyFont="1" applyFill="1" applyBorder="1" applyAlignment="1">
      <alignment horizontal="center"/>
    </xf>
    <xf numFmtId="0" fontId="15" fillId="0" borderId="0" xfId="16" applyFont="1" applyFill="1" applyBorder="1"/>
    <xf numFmtId="1" fontId="15" fillId="0" borderId="0" xfId="16" applyNumberFormat="1" applyFont="1" applyFill="1" applyBorder="1" applyAlignment="1">
      <alignment horizontal="center" vertical="center"/>
    </xf>
    <xf numFmtId="0" fontId="15" fillId="0" borderId="0" xfId="16" applyFont="1" applyFill="1" applyBorder="1" applyAlignment="1">
      <alignment horizontal="center"/>
    </xf>
    <xf numFmtId="0" fontId="15" fillId="0" borderId="0" xfId="5" applyFont="1" applyFill="1" applyBorder="1" applyAlignment="1">
      <alignment horizontal="center"/>
    </xf>
    <xf numFmtId="0" fontId="15" fillId="0" borderId="1" xfId="0" applyFont="1" applyFill="1" applyBorder="1" applyAlignment="1">
      <alignment horizontal="center"/>
    </xf>
    <xf numFmtId="0" fontId="15" fillId="5" borderId="26" xfId="16" applyFont="1" applyFill="1" applyBorder="1" applyAlignment="1">
      <alignment horizontal="right"/>
    </xf>
    <xf numFmtId="0" fontId="15" fillId="5" borderId="28" xfId="16" applyFont="1" applyFill="1" applyBorder="1" applyAlignment="1">
      <alignment horizontal="center"/>
    </xf>
    <xf numFmtId="0" fontId="15" fillId="5" borderId="18" xfId="16" applyFont="1" applyFill="1" applyBorder="1" applyAlignment="1">
      <alignment horizontal="right"/>
    </xf>
    <xf numFmtId="0" fontId="15" fillId="5" borderId="19" xfId="16" applyFont="1" applyFill="1" applyBorder="1" applyAlignment="1">
      <alignment horizontal="center"/>
    </xf>
    <xf numFmtId="0" fontId="15" fillId="5" borderId="27" xfId="16" applyFont="1" applyFill="1" applyBorder="1" applyAlignment="1">
      <alignment horizontal="center"/>
    </xf>
    <xf numFmtId="0" fontId="15" fillId="5" borderId="20" xfId="16" applyFont="1" applyFill="1" applyBorder="1" applyAlignment="1">
      <alignment horizontal="center"/>
    </xf>
    <xf numFmtId="164" fontId="12" fillId="3" borderId="0" xfId="16" applyNumberFormat="1" applyFont="1" applyFill="1" applyAlignment="1">
      <alignment horizontal="right"/>
    </xf>
    <xf numFmtId="165" fontId="12" fillId="3" borderId="0" xfId="14" applyNumberFormat="1" applyFont="1" applyFill="1" applyAlignment="1">
      <alignment horizontal="center"/>
    </xf>
    <xf numFmtId="164" fontId="12" fillId="3" borderId="0" xfId="14" applyNumberFormat="1" applyFont="1" applyFill="1" applyAlignment="1">
      <alignment horizontal="right"/>
    </xf>
    <xf numFmtId="0" fontId="12" fillId="3" borderId="0" xfId="16" applyFont="1" applyFill="1" applyAlignment="1">
      <alignment horizontal="right"/>
    </xf>
    <xf numFmtId="0" fontId="12" fillId="3" borderId="0" xfId="16" quotePrefix="1" applyFont="1" applyFill="1" applyAlignment="1">
      <alignment horizontal="right"/>
    </xf>
    <xf numFmtId="1" fontId="15" fillId="0" borderId="1" xfId="9" applyNumberFormat="1" applyFont="1" applyFill="1" applyBorder="1" applyAlignment="1">
      <alignment horizontal="center"/>
    </xf>
    <xf numFmtId="167" fontId="15" fillId="0" borderId="3" xfId="9" applyNumberFormat="1" applyFont="1" applyFill="1" applyBorder="1" applyAlignment="1">
      <alignment horizontal="center"/>
    </xf>
    <xf numFmtId="167" fontId="15" fillId="3" borderId="1" xfId="13" applyNumberFormat="1" applyFont="1" applyFill="1" applyBorder="1" applyAlignment="1">
      <alignment horizontal="center"/>
    </xf>
    <xf numFmtId="167" fontId="15" fillId="3" borderId="3" xfId="13" applyNumberFormat="1" applyFont="1" applyFill="1" applyBorder="1" applyAlignment="1">
      <alignment horizontal="center"/>
    </xf>
    <xf numFmtId="167" fontId="15" fillId="0" borderId="7" xfId="9" applyNumberFormat="1" applyFont="1" applyFill="1" applyBorder="1" applyAlignment="1">
      <alignment horizontal="center"/>
    </xf>
    <xf numFmtId="0" fontId="15" fillId="3" borderId="1" xfId="15" applyFont="1" applyFill="1" applyBorder="1" applyAlignment="1">
      <alignment horizontal="center" textRotation="90" wrapText="1"/>
    </xf>
    <xf numFmtId="0" fontId="15" fillId="0" borderId="1" xfId="15" applyFont="1" applyBorder="1" applyAlignment="1">
      <alignment horizontal="center"/>
    </xf>
    <xf numFmtId="2" fontId="15" fillId="0" borderId="1" xfId="15" applyNumberFormat="1" applyFont="1" applyFill="1" applyBorder="1" applyAlignment="1">
      <alignment horizontal="center"/>
    </xf>
    <xf numFmtId="1" fontId="20" fillId="0" borderId="1" xfId="5" applyNumberFormat="1" applyFont="1" applyFill="1" applyBorder="1" applyAlignment="1">
      <alignment horizontal="center"/>
    </xf>
    <xf numFmtId="0" fontId="20" fillId="0" borderId="1" xfId="5" applyFont="1" applyFill="1" applyBorder="1" applyAlignment="1">
      <alignment horizontal="center"/>
    </xf>
    <xf numFmtId="9" fontId="15" fillId="0" borderId="3" xfId="3" applyFont="1" applyFill="1" applyBorder="1" applyAlignment="1">
      <alignment horizontal="center"/>
    </xf>
    <xf numFmtId="0" fontId="16" fillId="5" borderId="26" xfId="5" applyFont="1" applyFill="1" applyBorder="1" applyAlignment="1">
      <alignment horizontal="right"/>
    </xf>
    <xf numFmtId="2" fontId="15" fillId="5" borderId="27" xfId="5" applyNumberFormat="1" applyFont="1" applyFill="1" applyBorder="1" applyAlignment="1">
      <alignment horizontal="center"/>
    </xf>
    <xf numFmtId="166" fontId="23" fillId="0" borderId="0" xfId="5" applyNumberFormat="1" applyFont="1" applyFill="1" applyBorder="1" applyAlignment="1" applyProtection="1">
      <protection locked="0"/>
    </xf>
    <xf numFmtId="0" fontId="23" fillId="0" borderId="0" xfId="5" applyFont="1" applyFill="1" applyAlignment="1">
      <alignment horizontal="right"/>
    </xf>
    <xf numFmtId="0" fontId="23" fillId="0" borderId="0" xfId="5" applyFont="1" applyFill="1" applyAlignment="1"/>
    <xf numFmtId="0" fontId="19" fillId="0" borderId="1" xfId="5" applyFont="1" applyFill="1" applyBorder="1"/>
    <xf numFmtId="0" fontId="19" fillId="0" borderId="3" xfId="16" applyFont="1" applyFill="1" applyBorder="1"/>
    <xf numFmtId="0" fontId="19" fillId="0" borderId="3" xfId="5" applyFont="1" applyFill="1" applyBorder="1"/>
    <xf numFmtId="0" fontId="15" fillId="0" borderId="2" xfId="15" applyFont="1" applyBorder="1" applyAlignment="1">
      <alignment horizontal="center"/>
    </xf>
    <xf numFmtId="0" fontId="23" fillId="0" borderId="0" xfId="4" applyFont="1" applyFill="1" applyBorder="1" applyAlignment="1"/>
    <xf numFmtId="2" fontId="15" fillId="5" borderId="28" xfId="16" applyNumberFormat="1" applyFont="1" applyFill="1" applyBorder="1" applyAlignment="1">
      <alignment horizontal="center"/>
    </xf>
    <xf numFmtId="2" fontId="15" fillId="5" borderId="27" xfId="16" applyNumberFormat="1" applyFont="1" applyFill="1" applyBorder="1" applyAlignment="1">
      <alignment horizontal="center"/>
    </xf>
    <xf numFmtId="2" fontId="15" fillId="5" borderId="14" xfId="16" applyNumberFormat="1" applyFont="1" applyFill="1" applyBorder="1" applyAlignment="1">
      <alignment horizontal="center"/>
    </xf>
    <xf numFmtId="2" fontId="18" fillId="5" borderId="14" xfId="16" applyNumberFormat="1" applyFont="1" applyFill="1" applyBorder="1" applyAlignment="1">
      <alignment horizontal="center"/>
    </xf>
    <xf numFmtId="2" fontId="15" fillId="5" borderId="20" xfId="16" applyNumberFormat="1" applyFont="1" applyFill="1" applyBorder="1" applyAlignment="1">
      <alignment horizontal="center"/>
    </xf>
    <xf numFmtId="0" fontId="15" fillId="3" borderId="1" xfId="16" applyFont="1" applyFill="1" applyBorder="1" applyAlignment="1">
      <alignment horizontal="center" textRotation="90" wrapText="1"/>
    </xf>
    <xf numFmtId="0" fontId="15" fillId="0" borderId="1" xfId="16" applyFont="1" applyBorder="1" applyAlignment="1">
      <alignment horizontal="center"/>
    </xf>
    <xf numFmtId="2" fontId="15" fillId="0" borderId="2" xfId="4" applyNumberFormat="1" applyFont="1" applyFill="1" applyBorder="1" applyAlignment="1">
      <alignment horizontal="center" vertical="center"/>
    </xf>
    <xf numFmtId="2" fontId="15" fillId="0" borderId="3" xfId="4" applyNumberFormat="1" applyFont="1" applyFill="1" applyBorder="1" applyAlignment="1">
      <alignment horizontal="center" vertical="center"/>
    </xf>
    <xf numFmtId="2" fontId="15" fillId="5" borderId="7" xfId="5" applyNumberFormat="1" applyFont="1" applyFill="1" applyBorder="1" applyAlignment="1">
      <alignment horizontal="center"/>
    </xf>
    <xf numFmtId="2" fontId="15" fillId="5" borderId="3" xfId="5" applyNumberFormat="1" applyFont="1" applyFill="1" applyBorder="1" applyAlignment="1">
      <alignment horizontal="center"/>
    </xf>
    <xf numFmtId="2" fontId="18" fillId="5" borderId="3" xfId="5" applyNumberFormat="1" applyFont="1" applyFill="1" applyBorder="1" applyAlignment="1">
      <alignment horizontal="center"/>
    </xf>
    <xf numFmtId="2" fontId="15" fillId="5" borderId="29" xfId="5" applyNumberFormat="1" applyFont="1" applyFill="1" applyBorder="1" applyAlignment="1">
      <alignment horizontal="center"/>
    </xf>
    <xf numFmtId="2" fontId="15" fillId="5" borderId="31" xfId="5" applyNumberFormat="1" applyFont="1" applyFill="1" applyBorder="1" applyAlignment="1">
      <alignment horizontal="center"/>
    </xf>
    <xf numFmtId="2" fontId="15" fillId="5" borderId="32" xfId="5" applyNumberFormat="1" applyFont="1" applyFill="1" applyBorder="1" applyAlignment="1">
      <alignment horizontal="center"/>
    </xf>
    <xf numFmtId="2" fontId="18" fillId="5" borderId="32" xfId="5" applyNumberFormat="1" applyFont="1" applyFill="1" applyBorder="1" applyAlignment="1">
      <alignment horizontal="center"/>
    </xf>
    <xf numFmtId="2" fontId="15" fillId="5" borderId="33" xfId="5" applyNumberFormat="1" applyFont="1" applyFill="1" applyBorder="1" applyAlignment="1">
      <alignment horizontal="center"/>
    </xf>
    <xf numFmtId="0" fontId="12" fillId="0" borderId="4" xfId="4" applyFont="1" applyFill="1" applyBorder="1"/>
    <xf numFmtId="0" fontId="15" fillId="0" borderId="4" xfId="4" applyFont="1" applyFill="1" applyBorder="1"/>
    <xf numFmtId="2" fontId="15" fillId="0" borderId="5" xfId="5" applyNumberFormat="1" applyFont="1" applyFill="1" applyBorder="1" applyAlignment="1">
      <alignment horizontal="center"/>
    </xf>
    <xf numFmtId="0" fontId="15" fillId="0" borderId="1" xfId="15" applyFont="1" applyBorder="1" applyAlignment="1">
      <alignment horizontal="left"/>
    </xf>
    <xf numFmtId="0" fontId="24" fillId="0" borderId="0" xfId="0" applyFont="1"/>
    <xf numFmtId="0" fontId="27" fillId="0" borderId="0" xfId="0" applyFont="1" applyAlignment="1">
      <alignment horizontal="center"/>
    </xf>
    <xf numFmtId="0" fontId="28" fillId="0" borderId="0" xfId="0" applyFont="1"/>
    <xf numFmtId="0" fontId="28" fillId="0" borderId="13" xfId="0" applyFont="1" applyBorder="1"/>
    <xf numFmtId="0" fontId="28" fillId="0" borderId="18" xfId="0" applyFont="1" applyBorder="1"/>
    <xf numFmtId="0" fontId="28" fillId="0" borderId="0" xfId="0" applyFont="1" applyAlignment="1">
      <alignment horizontal="center"/>
    </xf>
    <xf numFmtId="0" fontId="30" fillId="0" borderId="0" xfId="10" applyFont="1"/>
    <xf numFmtId="0" fontId="31" fillId="0" borderId="0" xfId="0" applyFont="1"/>
    <xf numFmtId="0" fontId="32" fillId="0" borderId="0" xfId="0" applyFont="1" applyAlignment="1">
      <alignment horizontal="center" vertical="center"/>
    </xf>
    <xf numFmtId="0" fontId="32" fillId="0" borderId="0" xfId="0" applyFont="1" applyAlignment="1">
      <alignment horizontal="center"/>
    </xf>
    <xf numFmtId="15"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15" fontId="28" fillId="0" borderId="1" xfId="0" applyNumberFormat="1" applyFont="1" applyBorder="1" applyAlignment="1">
      <alignment horizontal="center" vertical="center" wrapText="1"/>
    </xf>
    <xf numFmtId="0" fontId="28" fillId="0" borderId="1" xfId="0" applyFont="1" applyBorder="1" applyAlignment="1">
      <alignment horizontal="left" vertical="center" wrapText="1"/>
    </xf>
    <xf numFmtId="0" fontId="28" fillId="0" borderId="0" xfId="0" applyFont="1" applyAlignment="1">
      <alignment horizontal="center" vertical="center"/>
    </xf>
    <xf numFmtId="0" fontId="26" fillId="0" borderId="0" xfId="21" applyFont="1" applyFill="1" applyBorder="1" applyAlignment="1" applyProtection="1"/>
    <xf numFmtId="0" fontId="12" fillId="0" borderId="0" xfId="4" applyFont="1" applyFill="1" applyBorder="1" applyAlignment="1">
      <alignment horizontal="right"/>
    </xf>
    <xf numFmtId="1" fontId="12" fillId="0" borderId="0" xfId="4" applyNumberFormat="1" applyFont="1" applyFill="1" applyBorder="1" applyAlignment="1">
      <alignment horizontal="center"/>
    </xf>
    <xf numFmtId="164" fontId="12" fillId="0" borderId="0" xfId="4" applyNumberFormat="1" applyFont="1" applyFill="1" applyBorder="1" applyAlignment="1">
      <alignment horizontal="center"/>
    </xf>
    <xf numFmtId="2" fontId="12" fillId="0" borderId="0" xfId="4" applyNumberFormat="1" applyFont="1" applyFill="1" applyBorder="1" applyAlignment="1">
      <alignment horizontal="center"/>
    </xf>
    <xf numFmtId="2" fontId="18" fillId="5" borderId="35" xfId="5" applyNumberFormat="1" applyFont="1" applyFill="1" applyBorder="1" applyAlignment="1">
      <alignment horizontal="center"/>
    </xf>
    <xf numFmtId="0" fontId="12" fillId="3" borderId="0" xfId="15" applyFont="1" applyFill="1" applyAlignment="1">
      <alignment horizontal="right"/>
    </xf>
    <xf numFmtId="0" fontId="12" fillId="3" borderId="0" xfId="15" applyFont="1" applyFill="1"/>
    <xf numFmtId="164" fontId="12" fillId="0" borderId="0" xfId="15" applyNumberFormat="1" applyFont="1" applyFill="1"/>
    <xf numFmtId="9" fontId="12" fillId="0" borderId="0" xfId="15" applyNumberFormat="1" applyFont="1" applyFill="1"/>
    <xf numFmtId="0" fontId="18" fillId="0" borderId="3" xfId="15" applyFont="1" applyBorder="1"/>
    <xf numFmtId="0" fontId="15" fillId="0" borderId="1" xfId="15" applyFont="1" applyFill="1" applyBorder="1"/>
    <xf numFmtId="0" fontId="15" fillId="0" borderId="7" xfId="15" applyFont="1" applyFill="1" applyBorder="1"/>
    <xf numFmtId="0" fontId="18" fillId="0" borderId="7" xfId="15" applyFont="1" applyFill="1" applyBorder="1"/>
    <xf numFmtId="9" fontId="15" fillId="0" borderId="4" xfId="3" applyFont="1" applyFill="1" applyBorder="1" applyAlignment="1">
      <alignment horizontal="center"/>
    </xf>
    <xf numFmtId="1" fontId="15" fillId="0" borderId="5" xfId="9" applyNumberFormat="1" applyFont="1" applyFill="1" applyBorder="1" applyAlignment="1">
      <alignment horizontal="center"/>
    </xf>
    <xf numFmtId="1" fontId="15" fillId="0" borderId="7" xfId="9" applyNumberFormat="1" applyFont="1" applyFill="1" applyBorder="1" applyAlignment="1">
      <alignment horizontal="center"/>
    </xf>
    <xf numFmtId="9" fontId="15" fillId="0" borderId="6" xfId="3" applyFont="1" applyFill="1" applyBorder="1" applyAlignment="1">
      <alignment horizontal="center"/>
    </xf>
    <xf numFmtId="167" fontId="15" fillId="0" borderId="6" xfId="9" applyNumberFormat="1" applyFont="1" applyFill="1" applyBorder="1" applyAlignment="1">
      <alignment horizontal="center"/>
    </xf>
    <xf numFmtId="167" fontId="15" fillId="0" borderId="4" xfId="9" applyNumberFormat="1" applyFont="1" applyFill="1" applyBorder="1" applyAlignment="1">
      <alignment horizontal="center"/>
    </xf>
    <xf numFmtId="15" fontId="28" fillId="0" borderId="1" xfId="0" applyNumberFormat="1" applyFont="1" applyBorder="1" applyAlignment="1">
      <alignment horizontal="center"/>
    </xf>
    <xf numFmtId="9" fontId="15" fillId="0" borderId="2" xfId="4" applyNumberFormat="1" applyFont="1" applyBorder="1" applyAlignment="1">
      <alignment horizontal="center"/>
    </xf>
    <xf numFmtId="9" fontId="15" fillId="0" borderId="4" xfId="4" applyNumberFormat="1" applyFont="1" applyBorder="1" applyAlignment="1">
      <alignment horizontal="center"/>
    </xf>
    <xf numFmtId="0" fontId="12" fillId="0" borderId="2" xfId="0" applyFont="1" applyFill="1" applyBorder="1" applyAlignment="1">
      <alignment horizontal="center"/>
    </xf>
    <xf numFmtId="0" fontId="15" fillId="0" borderId="2" xfId="16" applyFont="1" applyBorder="1" applyAlignment="1">
      <alignment horizontal="center"/>
    </xf>
    <xf numFmtId="0" fontId="16" fillId="5" borderId="37" xfId="15" applyFont="1" applyFill="1" applyBorder="1" applyAlignment="1">
      <alignment horizontal="right"/>
    </xf>
    <xf numFmtId="2" fontId="18" fillId="5" borderId="38" xfId="5" applyNumberFormat="1" applyFont="1" applyFill="1" applyBorder="1" applyAlignment="1">
      <alignment horizontal="center"/>
    </xf>
    <xf numFmtId="2" fontId="18" fillId="5" borderId="40" xfId="5" applyNumberFormat="1" applyFont="1" applyFill="1" applyBorder="1" applyAlignment="1">
      <alignment horizontal="center"/>
    </xf>
    <xf numFmtId="2" fontId="18" fillId="5" borderId="39" xfId="5" applyNumberFormat="1" applyFont="1" applyFill="1" applyBorder="1" applyAlignment="1">
      <alignment horizontal="center"/>
    </xf>
    <xf numFmtId="2" fontId="18" fillId="5" borderId="41" xfId="5" applyNumberFormat="1" applyFont="1" applyFill="1" applyBorder="1" applyAlignment="1">
      <alignment horizontal="center"/>
    </xf>
    <xf numFmtId="2" fontId="15" fillId="10" borderId="1" xfId="16" applyNumberFormat="1" applyFont="1" applyFill="1" applyBorder="1" applyAlignment="1">
      <alignment horizontal="center"/>
    </xf>
    <xf numFmtId="2" fontId="15" fillId="11" borderId="1" xfId="16" applyNumberFormat="1" applyFont="1" applyFill="1" applyBorder="1" applyAlignment="1">
      <alignment horizontal="center"/>
    </xf>
    <xf numFmtId="2" fontId="15" fillId="12" borderId="1" xfId="16" applyNumberFormat="1" applyFont="1" applyFill="1" applyBorder="1" applyAlignment="1">
      <alignment horizontal="center"/>
    </xf>
    <xf numFmtId="2" fontId="15" fillId="12" borderId="35" xfId="16" applyNumberFormat="1" applyFont="1" applyFill="1" applyBorder="1" applyAlignment="1">
      <alignment horizontal="center"/>
    </xf>
    <xf numFmtId="2" fontId="15" fillId="10" borderId="2" xfId="16" applyNumberFormat="1" applyFont="1" applyFill="1" applyBorder="1" applyAlignment="1">
      <alignment horizontal="center"/>
    </xf>
    <xf numFmtId="2" fontId="15" fillId="10" borderId="15" xfId="16" applyNumberFormat="1" applyFont="1" applyFill="1" applyBorder="1" applyAlignment="1">
      <alignment horizontal="center"/>
    </xf>
    <xf numFmtId="2" fontId="15" fillId="11" borderId="2" xfId="16" applyNumberFormat="1" applyFont="1" applyFill="1" applyBorder="1" applyAlignment="1">
      <alignment horizontal="center"/>
    </xf>
    <xf numFmtId="2" fontId="15" fillId="12" borderId="2" xfId="16" applyNumberFormat="1" applyFont="1" applyFill="1" applyBorder="1" applyAlignment="1">
      <alignment horizontal="center"/>
    </xf>
    <xf numFmtId="2" fontId="15" fillId="12" borderId="44" xfId="16" applyNumberFormat="1" applyFont="1" applyFill="1" applyBorder="1" applyAlignment="1">
      <alignment horizontal="center"/>
    </xf>
    <xf numFmtId="2" fontId="15" fillId="10" borderId="5" xfId="16" applyNumberFormat="1" applyFont="1" applyFill="1" applyBorder="1" applyAlignment="1">
      <alignment horizontal="center"/>
    </xf>
    <xf numFmtId="2" fontId="15" fillId="11" borderId="5" xfId="16" applyNumberFormat="1" applyFont="1" applyFill="1" applyBorder="1" applyAlignment="1">
      <alignment horizontal="center"/>
    </xf>
    <xf numFmtId="2" fontId="15" fillId="12" borderId="5" xfId="16" applyNumberFormat="1" applyFont="1" applyFill="1" applyBorder="1" applyAlignment="1">
      <alignment horizontal="center"/>
    </xf>
    <xf numFmtId="2" fontId="15" fillId="12" borderId="43" xfId="16" applyNumberFormat="1" applyFont="1" applyFill="1" applyBorder="1" applyAlignment="1">
      <alignment horizontal="center"/>
    </xf>
    <xf numFmtId="2" fontId="15" fillId="10" borderId="19" xfId="16" applyNumberFormat="1" applyFont="1" applyFill="1" applyBorder="1" applyAlignment="1">
      <alignment horizontal="center"/>
    </xf>
    <xf numFmtId="2" fontId="15" fillId="11" borderId="19" xfId="16" applyNumberFormat="1" applyFont="1" applyFill="1" applyBorder="1" applyAlignment="1">
      <alignment horizontal="center"/>
    </xf>
    <xf numFmtId="2" fontId="15" fillId="12" borderId="19" xfId="16" applyNumberFormat="1" applyFont="1" applyFill="1" applyBorder="1" applyAlignment="1">
      <alignment horizontal="center"/>
    </xf>
    <xf numFmtId="0" fontId="26" fillId="0" borderId="0" xfId="21" applyFont="1" applyAlignment="1" applyProtection="1"/>
    <xf numFmtId="0" fontId="26" fillId="3" borderId="0" xfId="21" applyFont="1" applyFill="1" applyAlignment="1" applyProtection="1">
      <alignment horizontal="left"/>
    </xf>
    <xf numFmtId="166" fontId="28" fillId="0" borderId="14" xfId="0" applyNumberFormat="1" applyFont="1" applyBorder="1" applyAlignment="1"/>
    <xf numFmtId="0" fontId="28" fillId="0" borderId="1" xfId="0" applyFont="1" applyBorder="1" applyAlignment="1">
      <alignment wrapText="1"/>
    </xf>
    <xf numFmtId="0" fontId="28" fillId="0" borderId="1" xfId="0" applyFont="1" applyFill="1" applyBorder="1" applyAlignment="1">
      <alignment wrapText="1"/>
    </xf>
    <xf numFmtId="0" fontId="11" fillId="0" borderId="0" xfId="5" applyFont="1" applyFill="1" applyAlignment="1">
      <alignment horizontal="center"/>
    </xf>
    <xf numFmtId="0" fontId="11" fillId="0" borderId="0" xfId="4" applyFont="1" applyFill="1" applyBorder="1" applyAlignment="1">
      <alignment horizontal="left"/>
    </xf>
    <xf numFmtId="1" fontId="11" fillId="0" borderId="0" xfId="4" applyNumberFormat="1" applyFont="1" applyFill="1" applyBorder="1" applyAlignment="1">
      <alignment horizontal="center"/>
    </xf>
    <xf numFmtId="0" fontId="12" fillId="0" borderId="0" xfId="5" applyFont="1" applyFill="1" applyAlignment="1">
      <alignment horizontal="right"/>
    </xf>
    <xf numFmtId="0" fontId="12" fillId="0" borderId="0" xfId="4" applyFont="1" applyFill="1" applyBorder="1"/>
    <xf numFmtId="1" fontId="12" fillId="0" borderId="0" xfId="4" applyNumberFormat="1" applyFont="1" applyFill="1" applyBorder="1" applyAlignment="1"/>
    <xf numFmtId="1" fontId="12" fillId="0" borderId="0" xfId="4" applyNumberFormat="1" applyFont="1" applyFill="1" applyBorder="1" applyAlignment="1">
      <alignment horizontal="right"/>
    </xf>
    <xf numFmtId="164" fontId="13" fillId="0" borderId="0" xfId="29" applyNumberFormat="1" applyFont="1" applyFill="1" applyBorder="1" applyAlignment="1"/>
    <xf numFmtId="0" fontId="12" fillId="0" borderId="0" xfId="5" applyFont="1" applyFill="1"/>
    <xf numFmtId="2" fontId="12" fillId="0" borderId="0" xfId="5" applyNumberFormat="1" applyFont="1" applyFill="1" applyAlignment="1">
      <alignment horizontal="right"/>
    </xf>
    <xf numFmtId="164" fontId="12" fillId="0" borderId="0" xfId="4" applyNumberFormat="1" applyFont="1" applyFill="1" applyBorder="1" applyAlignment="1">
      <alignment horizontal="right"/>
    </xf>
    <xf numFmtId="2" fontId="12" fillId="0" borderId="0" xfId="4" applyNumberFormat="1" applyFont="1" applyFill="1" applyBorder="1"/>
    <xf numFmtId="164" fontId="22" fillId="0" borderId="0" xfId="4" applyNumberFormat="1" applyFont="1" applyFill="1" applyBorder="1" applyAlignment="1">
      <alignment horizontal="right"/>
    </xf>
    <xf numFmtId="164" fontId="12" fillId="0" borderId="0" xfId="29" applyNumberFormat="1" applyFont="1" applyFill="1" applyBorder="1"/>
    <xf numFmtId="0" fontId="12" fillId="0" borderId="0" xfId="29" applyFont="1" applyFill="1" applyBorder="1"/>
    <xf numFmtId="165" fontId="12" fillId="0" borderId="0" xfId="30" applyNumberFormat="1" applyFont="1" applyFill="1" applyBorder="1"/>
    <xf numFmtId="164" fontId="12" fillId="0" borderId="0" xfId="8" applyNumberFormat="1" applyFont="1" applyFill="1" applyBorder="1"/>
    <xf numFmtId="164" fontId="12" fillId="0" borderId="0" xfId="5" applyNumberFormat="1" applyFont="1" applyFill="1" applyBorder="1" applyAlignment="1">
      <alignment horizontal="right"/>
    </xf>
    <xf numFmtId="164" fontId="12" fillId="0" borderId="0" xfId="5" quotePrefix="1" applyNumberFormat="1" applyFont="1" applyFill="1" applyAlignment="1">
      <alignment horizontal="right"/>
    </xf>
    <xf numFmtId="0" fontId="12" fillId="0" borderId="0" xfId="5" quotePrefix="1" applyFont="1" applyFill="1" applyAlignment="1">
      <alignment horizontal="right"/>
    </xf>
    <xf numFmtId="164" fontId="12" fillId="0" borderId="0" xfId="29" applyNumberFormat="1" applyFont="1" applyFill="1" applyBorder="1" applyAlignment="1">
      <alignment vertical="center"/>
    </xf>
    <xf numFmtId="0" fontId="12" fillId="0" borderId="0" xfId="29" applyFont="1" applyFill="1" applyBorder="1" applyAlignment="1">
      <alignment vertical="center"/>
    </xf>
    <xf numFmtId="0" fontId="12" fillId="3" borderId="0" xfId="4" applyFont="1" applyFill="1" applyAlignment="1">
      <alignment horizontal="right"/>
    </xf>
    <xf numFmtId="164" fontId="12" fillId="3" borderId="0" xfId="4" applyNumberFormat="1" applyFont="1" applyFill="1" applyAlignment="1">
      <alignment horizontal="right"/>
    </xf>
    <xf numFmtId="0" fontId="12" fillId="3" borderId="0" xfId="4" applyFont="1" applyFill="1" applyBorder="1"/>
    <xf numFmtId="0" fontId="15" fillId="0" borderId="1" xfId="4" applyFont="1" applyFill="1" applyBorder="1" applyAlignment="1">
      <alignment horizontal="right"/>
    </xf>
    <xf numFmtId="0" fontId="15" fillId="0" borderId="1" xfId="4" applyFont="1" applyFill="1" applyBorder="1" applyAlignment="1">
      <alignment horizontal="center" textRotation="90"/>
    </xf>
    <xf numFmtId="0" fontId="15" fillId="3" borderId="1" xfId="5" applyFont="1" applyFill="1" applyBorder="1" applyAlignment="1">
      <alignment horizontal="center" textRotation="90" wrapText="1"/>
    </xf>
    <xf numFmtId="0" fontId="15" fillId="0" borderId="1" xfId="4" applyFont="1" applyFill="1" applyBorder="1" applyAlignment="1">
      <alignment horizontal="center"/>
    </xf>
    <xf numFmtId="0" fontId="15" fillId="0" borderId="1" xfId="5" applyFont="1" applyBorder="1" applyAlignment="1">
      <alignment horizontal="center"/>
    </xf>
    <xf numFmtId="0" fontId="15" fillId="0" borderId="2" xfId="4" applyFont="1" applyFill="1" applyBorder="1" applyAlignment="1">
      <alignment horizontal="center" vertical="center"/>
    </xf>
    <xf numFmtId="0" fontId="15" fillId="0" borderId="2" xfId="4" applyFont="1" applyFill="1" applyBorder="1" applyAlignment="1">
      <alignment horizontal="center"/>
    </xf>
    <xf numFmtId="0" fontId="15" fillId="0" borderId="2" xfId="5" applyFont="1" applyBorder="1" applyAlignment="1">
      <alignment horizontal="center"/>
    </xf>
    <xf numFmtId="0" fontId="15" fillId="0" borderId="1" xfId="5" applyFont="1" applyBorder="1" applyAlignment="1">
      <alignment horizontal="left"/>
    </xf>
    <xf numFmtId="0" fontId="18" fillId="0" borderId="3" xfId="5" applyFont="1" applyBorder="1"/>
    <xf numFmtId="0" fontId="18" fillId="0" borderId="7" xfId="5" applyFont="1" applyFill="1" applyBorder="1"/>
    <xf numFmtId="0" fontId="15" fillId="5" borderId="26" xfId="5" applyFont="1" applyFill="1" applyBorder="1"/>
    <xf numFmtId="0" fontId="15" fillId="5" borderId="13" xfId="5" applyFont="1" applyFill="1" applyBorder="1"/>
    <xf numFmtId="0" fontId="15" fillId="0" borderId="0" xfId="5" applyFont="1" applyAlignment="1">
      <alignment horizontal="right"/>
    </xf>
    <xf numFmtId="1" fontId="15" fillId="0" borderId="0" xfId="5" applyNumberFormat="1" applyFont="1" applyFill="1" applyBorder="1" applyAlignment="1">
      <alignment horizontal="center" vertical="center"/>
    </xf>
    <xf numFmtId="0" fontId="15" fillId="5" borderId="26" xfId="5" applyFont="1" applyFill="1" applyBorder="1" applyAlignment="1">
      <alignment horizontal="right"/>
    </xf>
    <xf numFmtId="0" fontId="15" fillId="5" borderId="28" xfId="5" applyFont="1" applyFill="1" applyBorder="1" applyAlignment="1">
      <alignment horizontal="center"/>
    </xf>
    <xf numFmtId="0" fontId="15" fillId="5" borderId="27" xfId="5" applyFont="1" applyFill="1" applyBorder="1" applyAlignment="1">
      <alignment horizontal="center"/>
    </xf>
    <xf numFmtId="0" fontId="15" fillId="5" borderId="19" xfId="5" applyFont="1" applyFill="1" applyBorder="1" applyAlignment="1">
      <alignment horizontal="center"/>
    </xf>
    <xf numFmtId="0" fontId="15" fillId="5" borderId="20" xfId="5" applyFont="1" applyFill="1" applyBorder="1" applyAlignment="1">
      <alignment horizontal="center"/>
    </xf>
    <xf numFmtId="0" fontId="28" fillId="0" borderId="6" xfId="0" applyFont="1" applyBorder="1"/>
    <xf numFmtId="0" fontId="27" fillId="0" borderId="38" xfId="15" applyFont="1" applyBorder="1" applyAlignment="1">
      <alignment horizontal="center"/>
    </xf>
    <xf numFmtId="0" fontId="15" fillId="0" borderId="1" xfId="0" applyFont="1" applyFill="1" applyBorder="1"/>
    <xf numFmtId="0" fontId="35" fillId="0" borderId="1" xfId="0" applyFont="1" applyFill="1" applyBorder="1"/>
    <xf numFmtId="0" fontId="35" fillId="4" borderId="1" xfId="4" applyFont="1" applyFill="1" applyBorder="1"/>
    <xf numFmtId="2" fontId="15" fillId="12" borderId="14" xfId="16" applyNumberFormat="1" applyFont="1" applyFill="1" applyBorder="1" applyAlignment="1">
      <alignment horizontal="center"/>
    </xf>
    <xf numFmtId="2" fontId="15" fillId="12" borderId="20" xfId="16" applyNumberFormat="1" applyFont="1" applyFill="1" applyBorder="1" applyAlignment="1">
      <alignment horizontal="center"/>
    </xf>
    <xf numFmtId="0" fontId="15" fillId="0" borderId="30" xfId="16" applyFont="1" applyBorder="1"/>
    <xf numFmtId="0" fontId="15" fillId="0" borderId="24" xfId="16" applyFont="1" applyBorder="1"/>
    <xf numFmtId="2" fontId="15" fillId="11" borderId="15" xfId="16" applyNumberFormat="1" applyFont="1" applyFill="1" applyBorder="1" applyAlignment="1">
      <alignment horizontal="center"/>
    </xf>
    <xf numFmtId="2" fontId="15" fillId="12" borderId="15" xfId="16" applyNumberFormat="1" applyFont="1" applyFill="1" applyBorder="1" applyAlignment="1">
      <alignment horizontal="center"/>
    </xf>
    <xf numFmtId="2" fontId="15" fillId="12" borderId="47" xfId="16" applyNumberFormat="1" applyFont="1" applyFill="1" applyBorder="1" applyAlignment="1">
      <alignment horizontal="center"/>
    </xf>
    <xf numFmtId="2" fontId="15" fillId="12" borderId="22" xfId="16" applyNumberFormat="1" applyFont="1" applyFill="1" applyBorder="1" applyAlignment="1">
      <alignment horizontal="center"/>
    </xf>
    <xf numFmtId="0" fontId="15" fillId="0" borderId="2" xfId="0" applyFont="1" applyFill="1" applyBorder="1" applyAlignment="1">
      <alignment horizontal="center"/>
    </xf>
    <xf numFmtId="0" fontId="12" fillId="0" borderId="1" xfId="0" applyFont="1" applyFill="1" applyBorder="1" applyAlignment="1">
      <alignment horizontal="center"/>
    </xf>
    <xf numFmtId="9" fontId="15" fillId="0" borderId="1" xfId="4" applyNumberFormat="1" applyFont="1" applyBorder="1" applyAlignment="1">
      <alignment horizontal="center"/>
    </xf>
    <xf numFmtId="164" fontId="17" fillId="0" borderId="4" xfId="5" applyNumberFormat="1" applyFont="1" applyFill="1" applyBorder="1" applyAlignment="1">
      <alignment horizontal="center"/>
    </xf>
    <xf numFmtId="2" fontId="15" fillId="0" borderId="0" xfId="4" applyNumberFormat="1" applyFont="1" applyBorder="1" applyAlignment="1">
      <alignment horizontal="center"/>
    </xf>
    <xf numFmtId="2" fontId="15" fillId="0" borderId="0" xfId="4" applyNumberFormat="1" applyFont="1" applyBorder="1" applyAlignment="1" applyProtection="1">
      <alignment horizontal="center"/>
      <protection locked="0"/>
    </xf>
    <xf numFmtId="2" fontId="15" fillId="3" borderId="0" xfId="4" applyNumberFormat="1" applyFont="1" applyFill="1" applyBorder="1" applyAlignment="1">
      <alignment horizontal="center"/>
    </xf>
    <xf numFmtId="2" fontId="15" fillId="0" borderId="0" xfId="4" applyNumberFormat="1" applyFont="1" applyFill="1" applyBorder="1" applyAlignment="1">
      <alignment horizontal="center" vertical="center"/>
    </xf>
    <xf numFmtId="0" fontId="15" fillId="0" borderId="1" xfId="4" applyFont="1" applyFill="1" applyBorder="1"/>
    <xf numFmtId="2" fontId="15" fillId="5" borderId="1" xfId="4" applyNumberFormat="1" applyFont="1" applyFill="1" applyBorder="1" applyAlignment="1">
      <alignment horizontal="center"/>
    </xf>
    <xf numFmtId="2" fontId="15" fillId="5" borderId="2" xfId="4" applyNumberFormat="1" applyFont="1" applyFill="1" applyBorder="1" applyAlignment="1">
      <alignment horizontal="center"/>
    </xf>
    <xf numFmtId="2" fontId="15" fillId="0" borderId="9" xfId="4" applyNumberFormat="1" applyFont="1" applyFill="1" applyBorder="1" applyAlignment="1">
      <alignment horizontal="center"/>
    </xf>
    <xf numFmtId="2" fontId="15" fillId="5" borderId="9" xfId="4" applyNumberFormat="1" applyFont="1" applyFill="1" applyBorder="1" applyAlignment="1">
      <alignment horizontal="center"/>
    </xf>
    <xf numFmtId="0" fontId="15" fillId="0" borderId="0" xfId="0" applyFont="1" applyFill="1" applyBorder="1"/>
    <xf numFmtId="0" fontId="28" fillId="0" borderId="1" xfId="14" applyFont="1" applyBorder="1"/>
    <xf numFmtId="0" fontId="28" fillId="0" borderId="1" xfId="0" applyFont="1" applyBorder="1"/>
    <xf numFmtId="0" fontId="26" fillId="0" borderId="0" xfId="33" applyFont="1" applyFill="1" applyAlignment="1" applyProtection="1"/>
    <xf numFmtId="0" fontId="36" fillId="0" borderId="0" xfId="14" applyFont="1"/>
    <xf numFmtId="0" fontId="23" fillId="0" borderId="0" xfId="14" applyFont="1" applyAlignment="1">
      <alignment horizontal="right"/>
    </xf>
    <xf numFmtId="0" fontId="37" fillId="0" borderId="0" xfId="14" applyNumberFormat="1" applyFont="1" applyAlignment="1">
      <alignment horizontal="center"/>
    </xf>
    <xf numFmtId="0" fontId="36" fillId="0" borderId="0" xfId="14" applyNumberFormat="1" applyFont="1"/>
    <xf numFmtId="0" fontId="12" fillId="0" borderId="0" xfId="14" applyFont="1" applyAlignment="1">
      <alignment horizontal="right"/>
    </xf>
    <xf numFmtId="0" fontId="15" fillId="0" borderId="0" xfId="14" applyFont="1"/>
    <xf numFmtId="0" fontId="13" fillId="0" borderId="0" xfId="14" applyFont="1" applyAlignment="1">
      <alignment horizontal="center"/>
    </xf>
    <xf numFmtId="0" fontId="13" fillId="0" borderId="0" xfId="14" applyNumberFormat="1" applyFont="1" applyAlignment="1">
      <alignment horizontal="center"/>
    </xf>
    <xf numFmtId="0" fontId="12" fillId="0" borderId="0" xfId="14" applyNumberFormat="1" applyFont="1"/>
    <xf numFmtId="0" fontId="12" fillId="0" borderId="0" xfId="14" applyFont="1"/>
    <xf numFmtId="0" fontId="15" fillId="0" borderId="0" xfId="14" applyFont="1" applyAlignment="1">
      <alignment horizontal="right"/>
    </xf>
    <xf numFmtId="1" fontId="15" fillId="0" borderId="0" xfId="14" applyNumberFormat="1" applyFont="1" applyFill="1" applyAlignment="1">
      <alignment horizontal="center"/>
    </xf>
    <xf numFmtId="1" fontId="12" fillId="0" borderId="0" xfId="14" applyNumberFormat="1" applyFont="1" applyFill="1" applyAlignment="1">
      <alignment horizontal="left"/>
    </xf>
    <xf numFmtId="0" fontId="15" fillId="0" borderId="1" xfId="15" applyFont="1" applyFill="1" applyBorder="1" applyAlignment="1">
      <alignment horizontal="right"/>
    </xf>
    <xf numFmtId="0" fontId="15" fillId="3" borderId="1" xfId="15" applyFont="1" applyFill="1" applyBorder="1" applyAlignment="1">
      <alignment horizontal="center"/>
    </xf>
    <xf numFmtId="0" fontId="13" fillId="0" borderId="0" xfId="14" applyFont="1"/>
    <xf numFmtId="0" fontId="13" fillId="0" borderId="0" xfId="14" applyNumberFormat="1" applyFont="1"/>
    <xf numFmtId="0" fontId="19" fillId="0" borderId="3" xfId="15" applyFont="1" applyFill="1" applyBorder="1"/>
    <xf numFmtId="0" fontId="19" fillId="0" borderId="0" xfId="15" applyFont="1" applyFill="1" applyBorder="1"/>
    <xf numFmtId="0" fontId="13" fillId="0" borderId="0" xfId="14" applyFont="1" applyBorder="1"/>
    <xf numFmtId="0" fontId="15" fillId="0" borderId="0" xfId="15" applyFont="1" applyFill="1" applyBorder="1" applyAlignment="1">
      <alignment horizontal="right"/>
    </xf>
    <xf numFmtId="0" fontId="38" fillId="0" borderId="3" xfId="15" applyFont="1" applyFill="1" applyBorder="1"/>
    <xf numFmtId="0" fontId="15" fillId="0" borderId="1" xfId="14" applyFont="1" applyBorder="1" applyAlignment="1">
      <alignment horizontal="center"/>
    </xf>
    <xf numFmtId="0" fontId="13" fillId="0" borderId="0" xfId="14" applyFont="1" applyFill="1" applyAlignment="1">
      <alignment horizontal="center"/>
    </xf>
    <xf numFmtId="0" fontId="13" fillId="0" borderId="0" xfId="14" applyNumberFormat="1" applyFont="1" applyFill="1" applyAlignment="1">
      <alignment horizontal="center"/>
    </xf>
    <xf numFmtId="0" fontId="12" fillId="0" borderId="0" xfId="14" applyNumberFormat="1" applyFont="1" applyFill="1"/>
    <xf numFmtId="0" fontId="12" fillId="0" borderId="0" xfId="14" applyFont="1" applyFill="1"/>
    <xf numFmtId="2" fontId="12" fillId="0" borderId="1" xfId="32" applyNumberFormat="1" applyFont="1" applyFill="1" applyBorder="1" applyAlignment="1">
      <alignment horizontal="center"/>
    </xf>
    <xf numFmtId="0" fontId="39" fillId="0" borderId="0" xfId="14" applyFont="1" applyFill="1" applyAlignment="1">
      <alignment horizontal="center"/>
    </xf>
    <xf numFmtId="0" fontId="39" fillId="0" borderId="0" xfId="14" applyNumberFormat="1" applyFont="1" applyFill="1" applyAlignment="1">
      <alignment horizontal="center"/>
    </xf>
    <xf numFmtId="0" fontId="40" fillId="0" borderId="0" xfId="14" applyNumberFormat="1" applyFont="1" applyFill="1"/>
    <xf numFmtId="0" fontId="40" fillId="0" borderId="0" xfId="14" applyFont="1" applyFill="1"/>
    <xf numFmtId="2" fontId="12" fillId="0" borderId="5" xfId="32" applyNumberFormat="1" applyFont="1" applyBorder="1" applyAlignment="1">
      <alignment horizontal="center"/>
    </xf>
    <xf numFmtId="2" fontId="12" fillId="0" borderId="1" xfId="32" applyNumberFormat="1" applyFont="1" applyBorder="1" applyAlignment="1">
      <alignment horizontal="center"/>
    </xf>
    <xf numFmtId="9" fontId="15" fillId="0" borderId="1" xfId="15" applyNumberFormat="1" applyFont="1" applyBorder="1"/>
    <xf numFmtId="0" fontId="24" fillId="0" borderId="1" xfId="5" applyFont="1" applyFill="1" applyBorder="1"/>
    <xf numFmtId="0" fontId="15" fillId="3" borderId="0" xfId="15" applyFont="1" applyFill="1" applyBorder="1" applyAlignment="1">
      <alignment horizontal="center" textRotation="90" wrapText="1"/>
    </xf>
    <xf numFmtId="0" fontId="15" fillId="3" borderId="0" xfId="15" applyFont="1" applyFill="1" applyBorder="1" applyAlignment="1">
      <alignment horizontal="center"/>
    </xf>
    <xf numFmtId="0" fontId="15" fillId="0" borderId="0" xfId="15" applyFont="1" applyBorder="1" applyAlignment="1">
      <alignment horizontal="center"/>
    </xf>
    <xf numFmtId="0" fontId="15" fillId="0" borderId="0" xfId="15" applyFont="1" applyBorder="1" applyAlignment="1"/>
    <xf numFmtId="9" fontId="15" fillId="0" borderId="0" xfId="3" applyFont="1" applyFill="1" applyBorder="1" applyAlignment="1">
      <alignment horizontal="center"/>
    </xf>
    <xf numFmtId="0" fontId="15" fillId="0" borderId="0" xfId="14" applyFont="1" applyBorder="1" applyAlignment="1">
      <alignment horizontal="center"/>
    </xf>
    <xf numFmtId="2" fontId="12" fillId="0" borderId="0" xfId="32" applyNumberFormat="1" applyFont="1" applyFill="1" applyBorder="1" applyAlignment="1">
      <alignment horizontal="center"/>
    </xf>
    <xf numFmtId="2" fontId="12" fillId="0" borderId="0" xfId="32" applyNumberFormat="1" applyFont="1" applyBorder="1" applyAlignment="1">
      <alignment horizontal="center"/>
    </xf>
    <xf numFmtId="0" fontId="13" fillId="0" borderId="0" xfId="14" applyFont="1" applyFill="1" applyBorder="1" applyAlignment="1">
      <alignment horizontal="center"/>
    </xf>
    <xf numFmtId="9" fontId="15" fillId="0" borderId="0" xfId="15" applyNumberFormat="1" applyFont="1" applyBorder="1"/>
    <xf numFmtId="2" fontId="15" fillId="0" borderId="0" xfId="0" applyNumberFormat="1" applyFont="1" applyFill="1" applyBorder="1" applyAlignment="1">
      <alignment horizontal="center"/>
    </xf>
    <xf numFmtId="2" fontId="12" fillId="0" borderId="2" xfId="32" applyNumberFormat="1" applyFont="1" applyFill="1" applyBorder="1" applyAlignment="1">
      <alignment horizontal="center"/>
    </xf>
    <xf numFmtId="0" fontId="12" fillId="0" borderId="12" xfId="14" applyFont="1" applyFill="1" applyBorder="1"/>
    <xf numFmtId="0" fontId="24" fillId="0" borderId="3" xfId="16" applyFont="1" applyFill="1" applyBorder="1"/>
    <xf numFmtId="0" fontId="29" fillId="0" borderId="13" xfId="21" applyBorder="1" applyAlignment="1" applyProtection="1"/>
    <xf numFmtId="0" fontId="28" fillId="0" borderId="1" xfId="0" applyFont="1" applyBorder="1" applyAlignment="1">
      <alignment horizontal="left"/>
    </xf>
    <xf numFmtId="0" fontId="28" fillId="0" borderId="1" xfId="14" applyFont="1" applyBorder="1" applyAlignment="1">
      <alignment horizontal="left" vertical="center"/>
    </xf>
    <xf numFmtId="15" fontId="28" fillId="0" borderId="1" xfId="14" applyNumberFormat="1" applyFont="1" applyBorder="1" applyAlignment="1">
      <alignment horizontal="center"/>
    </xf>
    <xf numFmtId="0" fontId="24" fillId="0" borderId="3" xfId="5" applyFont="1" applyFill="1" applyBorder="1"/>
    <xf numFmtId="0" fontId="16" fillId="5" borderId="49" xfId="5" applyFont="1" applyFill="1" applyBorder="1" applyAlignment="1">
      <alignment horizontal="right"/>
    </xf>
    <xf numFmtId="2" fontId="15" fillId="5" borderId="31" xfId="16" applyNumberFormat="1" applyFont="1" applyFill="1" applyBorder="1" applyAlignment="1">
      <alignment horizontal="center"/>
    </xf>
    <xf numFmtId="2" fontId="15" fillId="5" borderId="51" xfId="16" applyNumberFormat="1" applyFont="1" applyFill="1" applyBorder="1" applyAlignment="1">
      <alignment horizontal="center"/>
    </xf>
    <xf numFmtId="2" fontId="15" fillId="5" borderId="34" xfId="16" applyNumberFormat="1" applyFont="1" applyFill="1" applyBorder="1" applyAlignment="1">
      <alignment horizontal="center"/>
    </xf>
    <xf numFmtId="0" fontId="16" fillId="5" borderId="45" xfId="5" applyFont="1" applyFill="1" applyBorder="1" applyAlignment="1">
      <alignment horizontal="right"/>
    </xf>
    <xf numFmtId="2" fontId="15" fillId="5" borderId="32" xfId="16" applyNumberFormat="1" applyFont="1" applyFill="1" applyBorder="1" applyAlignment="1">
      <alignment horizontal="center"/>
    </xf>
    <xf numFmtId="2" fontId="15" fillId="5" borderId="6" xfId="16" applyNumberFormat="1" applyFont="1" applyFill="1" applyBorder="1" applyAlignment="1">
      <alignment horizontal="center"/>
    </xf>
    <xf numFmtId="2" fontId="15" fillId="5" borderId="35" xfId="16" applyNumberFormat="1" applyFont="1" applyFill="1" applyBorder="1" applyAlignment="1">
      <alignment horizontal="center"/>
    </xf>
    <xf numFmtId="2" fontId="18" fillId="5" borderId="32" xfId="16" applyNumberFormat="1" applyFont="1" applyFill="1" applyBorder="1" applyAlignment="1">
      <alignment horizontal="center"/>
    </xf>
    <xf numFmtId="2" fontId="18" fillId="5" borderId="6" xfId="16" applyNumberFormat="1" applyFont="1" applyFill="1" applyBorder="1" applyAlignment="1">
      <alignment horizontal="center"/>
    </xf>
    <xf numFmtId="0" fontId="16" fillId="5" borderId="48" xfId="5" applyFont="1" applyFill="1" applyBorder="1" applyAlignment="1">
      <alignment horizontal="right"/>
    </xf>
    <xf numFmtId="2" fontId="15" fillId="5" borderId="33" xfId="16" applyNumberFormat="1" applyFont="1" applyFill="1" applyBorder="1" applyAlignment="1">
      <alignment horizontal="center"/>
    </xf>
    <xf numFmtId="2" fontId="15" fillId="5" borderId="46" xfId="16" applyNumberFormat="1" applyFont="1" applyFill="1" applyBorder="1" applyAlignment="1">
      <alignment horizontal="center"/>
    </xf>
    <xf numFmtId="2" fontId="15" fillId="5" borderId="36" xfId="16" applyNumberFormat="1" applyFont="1" applyFill="1" applyBorder="1" applyAlignment="1">
      <alignment horizontal="center"/>
    </xf>
    <xf numFmtId="0" fontId="16" fillId="5" borderId="23" xfId="15" applyFont="1" applyFill="1" applyBorder="1" applyAlignment="1">
      <alignment horizontal="right"/>
    </xf>
    <xf numFmtId="2" fontId="18" fillId="5" borderId="30" xfId="5" applyNumberFormat="1" applyFont="1" applyFill="1" applyBorder="1" applyAlignment="1">
      <alignment horizontal="center"/>
    </xf>
    <xf numFmtId="2" fontId="18" fillId="5" borderId="24" xfId="5" applyNumberFormat="1" applyFont="1" applyFill="1" applyBorder="1" applyAlignment="1">
      <alignment horizontal="center"/>
    </xf>
    <xf numFmtId="0" fontId="15" fillId="5" borderId="42" xfId="5" applyFont="1" applyFill="1" applyBorder="1" applyAlignment="1">
      <alignment horizontal="right"/>
    </xf>
    <xf numFmtId="2" fontId="21" fillId="5" borderId="50" xfId="16" applyNumberFormat="1" applyFont="1" applyFill="1" applyBorder="1" applyAlignment="1">
      <alignment horizontal="center"/>
    </xf>
    <xf numFmtId="2" fontId="21" fillId="0" borderId="0" xfId="16" applyNumberFormat="1" applyFont="1" applyFill="1" applyBorder="1" applyAlignment="1">
      <alignment horizontal="center"/>
    </xf>
    <xf numFmtId="0" fontId="15" fillId="5" borderId="48" xfId="5" applyFont="1" applyFill="1" applyBorder="1" applyAlignment="1">
      <alignment horizontal="right"/>
    </xf>
    <xf numFmtId="2" fontId="21" fillId="5" borderId="33" xfId="16" applyNumberFormat="1" applyFont="1" applyFill="1" applyBorder="1" applyAlignment="1">
      <alignment horizontal="center"/>
    </xf>
    <xf numFmtId="0" fontId="16" fillId="0" borderId="0" xfId="10" applyFont="1" applyFill="1" applyBorder="1" applyAlignment="1"/>
    <xf numFmtId="0" fontId="16" fillId="0" borderId="0" xfId="14" applyFont="1" applyFill="1" applyBorder="1" applyAlignment="1"/>
    <xf numFmtId="1" fontId="20" fillId="5" borderId="52" xfId="16" applyNumberFormat="1" applyFont="1" applyFill="1" applyBorder="1" applyAlignment="1">
      <alignment horizontal="center"/>
    </xf>
    <xf numFmtId="0" fontId="15" fillId="5" borderId="53" xfId="16" applyFont="1" applyFill="1" applyBorder="1" applyAlignment="1">
      <alignment horizontal="center"/>
    </xf>
    <xf numFmtId="0" fontId="15" fillId="5" borderId="54" xfId="16" applyFont="1" applyFill="1" applyBorder="1" applyAlignment="1">
      <alignment horizontal="center"/>
    </xf>
    <xf numFmtId="0" fontId="16" fillId="0" borderId="0" xfId="16" applyFont="1" applyFill="1" applyBorder="1"/>
    <xf numFmtId="2" fontId="15" fillId="0" borderId="0" xfId="16" applyNumberFormat="1" applyFont="1" applyFill="1" applyBorder="1" applyAlignment="1">
      <alignment horizontal="center"/>
    </xf>
    <xf numFmtId="1" fontId="29" fillId="0" borderId="6" xfId="21" applyNumberFormat="1" applyBorder="1" applyAlignment="1" applyProtection="1"/>
    <xf numFmtId="0" fontId="28" fillId="0" borderId="1" xfId="0" applyFont="1" applyBorder="1" applyAlignment="1">
      <alignment horizontal="left" vertical="center"/>
    </xf>
    <xf numFmtId="0" fontId="23" fillId="0" borderId="0" xfId="4" applyFont="1" applyFill="1" applyAlignment="1">
      <alignment horizontal="right" vertical="center" wrapText="1"/>
    </xf>
    <xf numFmtId="15" fontId="23" fillId="0" borderId="0" xfId="4" applyNumberFormat="1" applyFont="1" applyFill="1" applyAlignment="1">
      <alignment horizontal="left" vertical="center" wrapText="1"/>
    </xf>
    <xf numFmtId="0" fontId="13" fillId="0" borderId="0" xfId="4" applyFont="1" applyFill="1" applyBorder="1" applyAlignment="1"/>
    <xf numFmtId="0" fontId="26" fillId="0" borderId="0" xfId="34" applyFont="1" applyFill="1" applyAlignment="1" applyProtection="1">
      <alignment vertical="top"/>
    </xf>
    <xf numFmtId="0" fontId="24" fillId="0" borderId="0" xfId="4" applyFont="1" applyFill="1"/>
    <xf numFmtId="0" fontId="24" fillId="0" borderId="0" xfId="4" applyFont="1" applyFill="1" applyBorder="1" applyAlignment="1">
      <alignment horizontal="center"/>
    </xf>
    <xf numFmtId="0" fontId="24" fillId="0" borderId="0" xfId="4" applyFont="1" applyFill="1" applyBorder="1"/>
    <xf numFmtId="0" fontId="12" fillId="0" borderId="0" xfId="4" applyFont="1" applyFill="1" applyAlignment="1"/>
    <xf numFmtId="0" fontId="12" fillId="0" borderId="0" xfId="4" applyFont="1" applyFill="1" applyAlignment="1">
      <alignment horizontal="center"/>
    </xf>
    <xf numFmtId="0" fontId="28" fillId="0" borderId="0" xfId="4" applyFont="1" applyFill="1" applyAlignment="1"/>
    <xf numFmtId="0" fontId="24" fillId="0" borderId="0" xfId="4" applyFont="1" applyFill="1" applyAlignment="1">
      <alignment horizontal="center"/>
    </xf>
    <xf numFmtId="0" fontId="38" fillId="0" borderId="0" xfId="4" applyFont="1" applyFill="1"/>
    <xf numFmtId="0" fontId="24" fillId="0" borderId="0" xfId="4" applyFont="1" applyFill="1" applyAlignment="1"/>
    <xf numFmtId="0" fontId="12" fillId="0" borderId="0" xfId="4" applyFont="1" applyFill="1" applyAlignment="1">
      <alignment horizontal="left"/>
    </xf>
    <xf numFmtId="0" fontId="24" fillId="0" borderId="0" xfId="4" applyFont="1" applyFill="1" applyAlignment="1">
      <alignment horizontal="left"/>
    </xf>
    <xf numFmtId="0" fontId="15" fillId="0" borderId="1" xfId="0" applyFont="1" applyBorder="1"/>
    <xf numFmtId="0" fontId="24" fillId="0" borderId="1" xfId="16" applyFont="1" applyBorder="1"/>
    <xf numFmtId="0" fontId="11" fillId="3" borderId="0" xfId="5" applyFont="1" applyFill="1" applyAlignment="1">
      <alignment horizontal="right"/>
    </xf>
    <xf numFmtId="0" fontId="11" fillId="3" borderId="0" xfId="5" applyFont="1" applyFill="1" applyAlignment="1">
      <alignment horizontal="left"/>
    </xf>
    <xf numFmtId="0" fontId="0" fillId="0" borderId="1" xfId="0" applyBorder="1"/>
    <xf numFmtId="2" fontId="11" fillId="3" borderId="0" xfId="5" applyNumberFormat="1" applyFont="1" applyFill="1" applyAlignment="1">
      <alignment horizontal="left"/>
    </xf>
    <xf numFmtId="2" fontId="0" fillId="0" borderId="1" xfId="0" applyNumberFormat="1" applyBorder="1"/>
    <xf numFmtId="0" fontId="13" fillId="0" borderId="0" xfId="14" applyFont="1" applyAlignment="1">
      <alignment horizontal="left"/>
    </xf>
    <xf numFmtId="2" fontId="15" fillId="13" borderId="1" xfId="4" applyNumberFormat="1" applyFont="1" applyFill="1" applyBorder="1" applyAlignment="1">
      <alignment horizontal="center"/>
    </xf>
    <xf numFmtId="0" fontId="35" fillId="0" borderId="3" xfId="0" applyFont="1" applyFill="1" applyBorder="1"/>
    <xf numFmtId="0" fontId="35" fillId="4" borderId="3" xfId="4" applyFont="1" applyFill="1" applyBorder="1"/>
    <xf numFmtId="0" fontId="19" fillId="0" borderId="0" xfId="5" applyFont="1" applyFill="1" applyBorder="1"/>
    <xf numFmtId="0" fontId="35" fillId="0" borderId="0" xfId="0" applyFont="1" applyFill="1" applyBorder="1"/>
    <xf numFmtId="0" fontId="35" fillId="0" borderId="0" xfId="4" applyFont="1" applyFill="1" applyBorder="1"/>
    <xf numFmtId="0" fontId="23" fillId="14" borderId="0" xfId="4" applyFont="1" applyFill="1" applyBorder="1" applyAlignment="1"/>
    <xf numFmtId="0" fontId="15" fillId="4" borderId="18" xfId="5" applyFont="1" applyFill="1" applyBorder="1"/>
    <xf numFmtId="2" fontId="18" fillId="5" borderId="3" xfId="16" applyNumberFormat="1" applyFont="1" applyFill="1" applyBorder="1" applyAlignment="1">
      <alignment horizontal="center"/>
    </xf>
    <xf numFmtId="0" fontId="15" fillId="3" borderId="0" xfId="16" applyFont="1" applyFill="1" applyBorder="1" applyAlignment="1">
      <alignment horizontal="center" textRotation="90" wrapText="1"/>
    </xf>
    <xf numFmtId="0" fontId="15" fillId="0" borderId="0" xfId="16" applyFont="1" applyBorder="1" applyAlignment="1">
      <alignment horizontal="center"/>
    </xf>
    <xf numFmtId="9" fontId="15" fillId="0" borderId="0" xfId="4" applyNumberFormat="1" applyFont="1" applyBorder="1" applyAlignment="1">
      <alignment horizontal="center"/>
    </xf>
    <xf numFmtId="1" fontId="15" fillId="0" borderId="0" xfId="9" applyNumberFormat="1" applyFont="1" applyFill="1" applyBorder="1" applyAlignment="1">
      <alignment horizontal="center"/>
    </xf>
    <xf numFmtId="167" fontId="15" fillId="0" borderId="0" xfId="9" applyNumberFormat="1" applyFont="1" applyFill="1" applyBorder="1" applyAlignment="1">
      <alignment horizontal="center"/>
    </xf>
    <xf numFmtId="167" fontId="15" fillId="3" borderId="0" xfId="13" applyNumberFormat="1" applyFont="1" applyFill="1" applyBorder="1" applyAlignment="1">
      <alignment horizontal="center"/>
    </xf>
    <xf numFmtId="9" fontId="15" fillId="0" borderId="0" xfId="3" applyFont="1" applyBorder="1" applyAlignment="1">
      <alignment horizontal="center"/>
    </xf>
    <xf numFmtId="2" fontId="15" fillId="0" borderId="0" xfId="4" applyNumberFormat="1" applyFont="1" applyFill="1" applyBorder="1" applyAlignment="1">
      <alignment horizontal="center"/>
    </xf>
    <xf numFmtId="1" fontId="20" fillId="0" borderId="0" xfId="5" applyNumberFormat="1" applyFont="1" applyFill="1" applyBorder="1" applyAlignment="1">
      <alignment horizontal="center"/>
    </xf>
    <xf numFmtId="0" fontId="20" fillId="0" borderId="0" xfId="5" applyFont="1" applyFill="1" applyBorder="1" applyAlignment="1">
      <alignment horizontal="center"/>
    </xf>
    <xf numFmtId="0" fontId="16" fillId="6" borderId="0" xfId="5" applyFont="1" applyFill="1" applyBorder="1" applyAlignment="1">
      <alignment horizontal="left"/>
    </xf>
    <xf numFmtId="2" fontId="15" fillId="5" borderId="0" xfId="5" applyNumberFormat="1" applyFont="1" applyFill="1" applyBorder="1" applyAlignment="1">
      <alignment horizontal="center"/>
    </xf>
    <xf numFmtId="2" fontId="18" fillId="5" borderId="0" xfId="5" applyNumberFormat="1" applyFont="1" applyFill="1" applyBorder="1" applyAlignment="1">
      <alignment horizontal="center"/>
    </xf>
    <xf numFmtId="0" fontId="15" fillId="0" borderId="1" xfId="0" applyFont="1" applyFill="1" applyBorder="1" applyAlignment="1"/>
    <xf numFmtId="164" fontId="12" fillId="14" borderId="0" xfId="5" applyNumberFormat="1" applyFont="1" applyFill="1" applyAlignment="1">
      <alignment horizontal="right"/>
    </xf>
    <xf numFmtId="0" fontId="15" fillId="5" borderId="18" xfId="5" applyFont="1" applyFill="1" applyBorder="1"/>
    <xf numFmtId="165" fontId="12" fillId="14" borderId="0" xfId="14" applyNumberFormat="1" applyFont="1" applyFill="1" applyAlignment="1">
      <alignment horizontal="center"/>
    </xf>
    <xf numFmtId="2" fontId="15" fillId="14" borderId="0" xfId="0" applyNumberFormat="1" applyFont="1" applyFill="1" applyBorder="1" applyAlignment="1">
      <alignment horizontal="center"/>
    </xf>
    <xf numFmtId="9" fontId="15" fillId="14" borderId="1" xfId="3" applyFont="1" applyFill="1" applyBorder="1" applyAlignment="1">
      <alignment horizontal="center"/>
    </xf>
    <xf numFmtId="0" fontId="28" fillId="0" borderId="25" xfId="0" applyFont="1" applyBorder="1"/>
    <xf numFmtId="0" fontId="28" fillId="0" borderId="8" xfId="0" applyFont="1" applyBorder="1"/>
    <xf numFmtId="43" fontId="28" fillId="0" borderId="2" xfId="9" applyFont="1" applyBorder="1"/>
    <xf numFmtId="0" fontId="28" fillId="0" borderId="26" xfId="0" applyFont="1" applyBorder="1"/>
    <xf numFmtId="0" fontId="28" fillId="0" borderId="28" xfId="0" applyFont="1" applyBorder="1"/>
    <xf numFmtId="0" fontId="28" fillId="0" borderId="27" xfId="0" applyFont="1" applyBorder="1" applyAlignment="1">
      <alignment horizontal="center"/>
    </xf>
    <xf numFmtId="0" fontId="28" fillId="0" borderId="14" xfId="0" applyFont="1" applyBorder="1" applyAlignment="1">
      <alignment horizontal="center"/>
    </xf>
    <xf numFmtId="0" fontId="28" fillId="0" borderId="19" xfId="0" applyFont="1" applyBorder="1"/>
    <xf numFmtId="0" fontId="28" fillId="0" borderId="20" xfId="0" applyFont="1" applyBorder="1" applyAlignment="1">
      <alignment horizontal="center"/>
    </xf>
    <xf numFmtId="0" fontId="28" fillId="0" borderId="2" xfId="0" applyFont="1" applyBorder="1"/>
    <xf numFmtId="0" fontId="28" fillId="0" borderId="55" xfId="0" applyFont="1" applyBorder="1" applyAlignment="1">
      <alignment horizontal="center"/>
    </xf>
    <xf numFmtId="0" fontId="29" fillId="0" borderId="1" xfId="21" applyFill="1" applyBorder="1" applyAlignment="1" applyProtection="1"/>
    <xf numFmtId="0" fontId="15" fillId="0" borderId="0" xfId="0" applyFont="1"/>
    <xf numFmtId="0" fontId="15" fillId="5" borderId="14" xfId="16" applyFont="1" applyFill="1" applyBorder="1" applyAlignment="1">
      <alignment horizontal="center" vertical="center"/>
    </xf>
    <xf numFmtId="0" fontId="16" fillId="0" borderId="0" xfId="5" applyFont="1" applyFill="1" applyBorder="1" applyAlignment="1">
      <alignment horizontal="left"/>
    </xf>
    <xf numFmtId="0" fontId="29" fillId="0" borderId="3" xfId="21" applyFill="1" applyBorder="1" applyAlignment="1" applyProtection="1">
      <alignment horizontal="left"/>
    </xf>
    <xf numFmtId="0" fontId="26" fillId="0" borderId="0" xfId="33" applyFont="1" applyFill="1" applyAlignment="1" applyProtection="1">
      <alignment horizontal="left"/>
    </xf>
    <xf numFmtId="0" fontId="11" fillId="0" borderId="0" xfId="5" applyFont="1" applyAlignment="1">
      <alignment horizontal="center"/>
    </xf>
    <xf numFmtId="166" fontId="23" fillId="0" borderId="0" xfId="5" applyNumberFormat="1" applyFont="1" applyProtection="1">
      <protection locked="0"/>
    </xf>
    <xf numFmtId="0" fontId="23" fillId="0" borderId="0" xfId="5" applyFont="1" applyAlignment="1">
      <alignment horizontal="right"/>
    </xf>
    <xf numFmtId="0" fontId="11" fillId="0" borderId="0" xfId="15" applyFont="1" applyAlignment="1">
      <alignment horizontal="right"/>
    </xf>
    <xf numFmtId="0" fontId="12" fillId="0" borderId="0" xfId="4" applyFont="1"/>
    <xf numFmtId="1" fontId="12" fillId="3" borderId="0" xfId="4" applyNumberFormat="1" applyFont="1" applyFill="1"/>
    <xf numFmtId="1" fontId="12" fillId="0" borderId="0" xfId="4" applyNumberFormat="1" applyFont="1"/>
    <xf numFmtId="1" fontId="12" fillId="3" borderId="0" xfId="4" applyNumberFormat="1" applyFont="1" applyFill="1" applyAlignment="1">
      <alignment horizontal="right"/>
    </xf>
    <xf numFmtId="0" fontId="44" fillId="0" borderId="0" xfId="33" applyFont="1" applyFill="1" applyAlignment="1" applyProtection="1">
      <alignment horizontal="left"/>
    </xf>
    <xf numFmtId="164" fontId="13" fillId="0" borderId="0" xfId="37" applyNumberFormat="1" applyFont="1"/>
    <xf numFmtId="2" fontId="12" fillId="0" borderId="0" xfId="5" applyNumberFormat="1" applyFont="1" applyAlignment="1">
      <alignment horizontal="right"/>
    </xf>
    <xf numFmtId="164" fontId="12" fillId="0" borderId="0" xfId="4" applyNumberFormat="1" applyFont="1" applyAlignment="1">
      <alignment horizontal="right"/>
    </xf>
    <xf numFmtId="2" fontId="12" fillId="3" borderId="0" xfId="4" applyNumberFormat="1" applyFont="1" applyFill="1"/>
    <xf numFmtId="164" fontId="12" fillId="3" borderId="0" xfId="4" applyNumberFormat="1" applyFont="1" applyFill="1" applyAlignment="1">
      <alignment horizontal="center"/>
    </xf>
    <xf numFmtId="164" fontId="22" fillId="3" borderId="0" xfId="4" applyNumberFormat="1" applyFont="1" applyFill="1" applyAlignment="1">
      <alignment horizontal="right"/>
    </xf>
    <xf numFmtId="164" fontId="12" fillId="0" borderId="0" xfId="37" applyNumberFormat="1" applyFont="1"/>
    <xf numFmtId="0" fontId="12" fillId="0" borderId="0" xfId="37" applyFont="1"/>
    <xf numFmtId="165" fontId="12" fillId="0" borderId="0" xfId="38" applyNumberFormat="1" applyFont="1" applyFill="1" applyBorder="1"/>
    <xf numFmtId="164" fontId="12" fillId="0" borderId="0" xfId="5" applyNumberFormat="1" applyFont="1"/>
    <xf numFmtId="0" fontId="12" fillId="0" borderId="0" xfId="5" applyFont="1"/>
    <xf numFmtId="164" fontId="12" fillId="0" borderId="0" xfId="5" applyNumberFormat="1" applyFont="1" applyAlignment="1">
      <alignment vertical="center"/>
    </xf>
    <xf numFmtId="0" fontId="12" fillId="0" borderId="0" xfId="5" applyFont="1" applyAlignment="1">
      <alignment vertical="center"/>
    </xf>
    <xf numFmtId="164" fontId="12" fillId="0" borderId="0" xfId="37" applyNumberFormat="1" applyFont="1" applyAlignment="1">
      <alignment vertical="center"/>
    </xf>
    <xf numFmtId="0" fontId="12" fillId="0" borderId="0" xfId="37" applyFont="1" applyAlignment="1">
      <alignment vertical="center"/>
    </xf>
    <xf numFmtId="164" fontId="13" fillId="0" borderId="0" xfId="5" applyNumberFormat="1" applyFont="1"/>
    <xf numFmtId="164" fontId="12" fillId="0" borderId="0" xfId="8" applyNumberFormat="1" applyFont="1"/>
    <xf numFmtId="9" fontId="12" fillId="0" borderId="0" xfId="15" applyNumberFormat="1" applyFont="1"/>
    <xf numFmtId="164" fontId="12" fillId="0" borderId="0" xfId="15" applyNumberFormat="1" applyFont="1"/>
    <xf numFmtId="0" fontId="15" fillId="0" borderId="1" xfId="4" applyFont="1" applyBorder="1" applyAlignment="1">
      <alignment horizontal="right"/>
    </xf>
    <xf numFmtId="0" fontId="15" fillId="0" borderId="1" xfId="4" applyFont="1" applyBorder="1" applyAlignment="1">
      <alignment horizontal="center" textRotation="90"/>
    </xf>
    <xf numFmtId="0" fontId="15" fillId="0" borderId="1" xfId="4" applyFont="1" applyBorder="1" applyAlignment="1" applyProtection="1">
      <alignment horizontal="center" textRotation="90"/>
      <protection locked="0"/>
    </xf>
    <xf numFmtId="0" fontId="15" fillId="0" borderId="1" xfId="4" applyFont="1" applyBorder="1" applyAlignment="1">
      <alignment horizontal="center"/>
    </xf>
    <xf numFmtId="0" fontId="15" fillId="0" borderId="1" xfId="4" applyFont="1" applyBorder="1" applyAlignment="1" applyProtection="1">
      <alignment horizontal="center"/>
      <protection locked="0"/>
    </xf>
    <xf numFmtId="0" fontId="15" fillId="0" borderId="2" xfId="4" applyFont="1" applyBorder="1" applyAlignment="1">
      <alignment horizontal="right"/>
    </xf>
    <xf numFmtId="0" fontId="19" fillId="0" borderId="1" xfId="5" applyFont="1" applyBorder="1"/>
    <xf numFmtId="0" fontId="12" fillId="0" borderId="4" xfId="4" applyFont="1" applyBorder="1"/>
    <xf numFmtId="2" fontId="15" fillId="0" borderId="5" xfId="5" applyNumberFormat="1" applyFont="1" applyBorder="1" applyAlignment="1">
      <alignment horizontal="center"/>
    </xf>
    <xf numFmtId="9" fontId="15" fillId="0" borderId="2" xfId="3" applyFont="1" applyFill="1" applyBorder="1" applyAlignment="1" applyProtection="1">
      <alignment horizontal="center"/>
      <protection locked="0"/>
    </xf>
    <xf numFmtId="9" fontId="15" fillId="0" borderId="6" xfId="3" applyFont="1" applyFill="1" applyBorder="1" applyAlignment="1" applyProtection="1">
      <alignment horizontal="center"/>
      <protection locked="0"/>
    </xf>
    <xf numFmtId="0" fontId="15" fillId="0" borderId="1" xfId="15" applyFont="1" applyBorder="1"/>
    <xf numFmtId="0" fontId="15" fillId="0" borderId="7" xfId="15" applyFont="1" applyBorder="1"/>
    <xf numFmtId="0" fontId="18" fillId="0" borderId="7" xfId="15" applyFont="1" applyBorder="1"/>
    <xf numFmtId="0" fontId="15" fillId="0" borderId="1" xfId="15" applyFont="1" applyBorder="1" applyAlignment="1">
      <alignment horizontal="right"/>
    </xf>
    <xf numFmtId="9" fontId="15" fillId="0" borderId="0" xfId="3" applyFont="1" applyBorder="1"/>
    <xf numFmtId="0" fontId="15" fillId="0" borderId="0" xfId="15" applyFont="1"/>
    <xf numFmtId="2" fontId="15" fillId="0" borderId="1" xfId="15" applyNumberFormat="1" applyFont="1" applyBorder="1" applyAlignment="1">
      <alignment horizontal="center"/>
    </xf>
    <xf numFmtId="0" fontId="19" fillId="0" borderId="3" xfId="16" applyFont="1" applyBorder="1"/>
    <xf numFmtId="2" fontId="15" fillId="0" borderId="3" xfId="4" applyNumberFormat="1" applyFont="1" applyBorder="1" applyAlignment="1">
      <alignment horizontal="center" vertical="center"/>
    </xf>
    <xf numFmtId="2" fontId="15" fillId="0" borderId="6" xfId="4" applyNumberFormat="1" applyFont="1" applyBorder="1" applyAlignment="1">
      <alignment horizontal="center" vertical="center"/>
    </xf>
    <xf numFmtId="0" fontId="15" fillId="0" borderId="1" xfId="4" applyFont="1" applyBorder="1"/>
    <xf numFmtId="2" fontId="15" fillId="0" borderId="1" xfId="4" applyNumberFormat="1" applyFont="1" applyBorder="1" applyAlignment="1">
      <alignment horizontal="center"/>
    </xf>
    <xf numFmtId="2" fontId="15" fillId="3" borderId="1" xfId="4" applyNumberFormat="1" applyFont="1" applyFill="1" applyBorder="1" applyAlignment="1">
      <alignment horizontal="center"/>
    </xf>
    <xf numFmtId="0" fontId="35" fillId="0" borderId="1" xfId="4" applyFont="1" applyBorder="1"/>
    <xf numFmtId="0" fontId="24" fillId="0" borderId="1" xfId="5" applyFont="1" applyBorder="1"/>
    <xf numFmtId="1" fontId="20" fillId="0" borderId="5" xfId="5" applyNumberFormat="1" applyFont="1" applyBorder="1" applyAlignment="1">
      <alignment horizontal="center"/>
    </xf>
    <xf numFmtId="0" fontId="20" fillId="0" borderId="1" xfId="5" applyFont="1" applyBorder="1" applyAlignment="1">
      <alignment horizontal="center"/>
    </xf>
    <xf numFmtId="0" fontId="15" fillId="0" borderId="1" xfId="4" applyFont="1" applyBorder="1" applyAlignment="1">
      <alignment horizontal="center" vertical="center"/>
    </xf>
    <xf numFmtId="0" fontId="19" fillId="0" borderId="3" xfId="5" applyFont="1" applyBorder="1"/>
    <xf numFmtId="0" fontId="12" fillId="0" borderId="3" xfId="14" applyFont="1" applyBorder="1"/>
    <xf numFmtId="0" fontId="13" fillId="0" borderId="6" xfId="14" applyFont="1" applyBorder="1" applyAlignment="1">
      <alignment horizontal="center"/>
    </xf>
    <xf numFmtId="0" fontId="12" fillId="0" borderId="6" xfId="14" applyFont="1" applyBorder="1"/>
    <xf numFmtId="9" fontId="15" fillId="0" borderId="5" xfId="15" applyNumberFormat="1" applyFont="1" applyBorder="1"/>
    <xf numFmtId="0" fontId="40" fillId="0" borderId="0" xfId="14" applyFont="1"/>
    <xf numFmtId="0" fontId="24" fillId="0" borderId="0" xfId="4" applyFont="1"/>
    <xf numFmtId="0" fontId="12" fillId="0" borderId="0" xfId="12" applyFont="1" applyAlignment="1">
      <alignment horizontal="left"/>
    </xf>
    <xf numFmtId="0" fontId="12" fillId="0" borderId="0" xfId="12" applyFont="1" applyAlignment="1">
      <alignment horizontal="center"/>
    </xf>
    <xf numFmtId="0" fontId="12" fillId="0" borderId="0" xfId="4" applyFont="1" applyAlignment="1">
      <alignment horizontal="center"/>
    </xf>
    <xf numFmtId="0" fontId="12" fillId="0" borderId="0" xfId="12" applyFont="1"/>
    <xf numFmtId="0" fontId="12" fillId="3" borderId="0" xfId="4" applyFont="1" applyFill="1"/>
    <xf numFmtId="0" fontId="12" fillId="5" borderId="21" xfId="5" applyFont="1" applyFill="1" applyBorder="1" applyAlignment="1">
      <alignment horizontal="right"/>
    </xf>
    <xf numFmtId="2" fontId="45" fillId="5" borderId="22" xfId="5" applyNumberFormat="1" applyFont="1" applyFill="1" applyBorder="1" applyAlignment="1">
      <alignment horizontal="right"/>
    </xf>
    <xf numFmtId="0" fontId="12" fillId="5" borderId="18" xfId="5" applyFont="1" applyFill="1" applyBorder="1" applyAlignment="1">
      <alignment horizontal="right"/>
    </xf>
    <xf numFmtId="2" fontId="45" fillId="5" borderId="20" xfId="5" applyNumberFormat="1" applyFont="1" applyFill="1" applyBorder="1" applyAlignment="1">
      <alignment horizontal="right"/>
    </xf>
    <xf numFmtId="1" fontId="20" fillId="5" borderId="27" xfId="5" applyNumberFormat="1" applyFont="1" applyFill="1" applyBorder="1" applyAlignment="1">
      <alignment horizontal="center"/>
    </xf>
    <xf numFmtId="0" fontId="20" fillId="5" borderId="14" xfId="5" applyFont="1" applyFill="1" applyBorder="1" applyAlignment="1">
      <alignment horizontal="center"/>
    </xf>
    <xf numFmtId="1" fontId="15" fillId="4" borderId="20" xfId="5" applyNumberFormat="1" applyFont="1" applyFill="1" applyBorder="1" applyAlignment="1">
      <alignment horizontal="center" vertical="center"/>
    </xf>
    <xf numFmtId="0" fontId="12" fillId="0" borderId="0" xfId="16" applyFont="1"/>
    <xf numFmtId="0" fontId="19" fillId="5" borderId="39" xfId="14" applyFont="1" applyFill="1" applyBorder="1"/>
    <xf numFmtId="0" fontId="46" fillId="3" borderId="0" xfId="33" applyFont="1" applyFill="1" applyAlignment="1" applyProtection="1">
      <alignment horizontal="left"/>
    </xf>
    <xf numFmtId="0" fontId="16" fillId="0" borderId="23" xfId="16" applyFont="1" applyBorder="1"/>
    <xf numFmtId="0" fontId="26" fillId="3" borderId="0" xfId="33" applyFont="1" applyFill="1" applyAlignment="1" applyProtection="1">
      <alignment horizontal="left"/>
    </xf>
    <xf numFmtId="0" fontId="15" fillId="0" borderId="13" xfId="4" applyFont="1" applyBorder="1"/>
    <xf numFmtId="0" fontId="15" fillId="0" borderId="21" xfId="4" applyFont="1" applyBorder="1"/>
    <xf numFmtId="0" fontId="15" fillId="0" borderId="42" xfId="4" applyFont="1" applyBorder="1"/>
    <xf numFmtId="0" fontId="15" fillId="0" borderId="45" xfId="4" applyFont="1" applyBorder="1"/>
    <xf numFmtId="0" fontId="15" fillId="0" borderId="48" xfId="4" applyFont="1" applyBorder="1"/>
    <xf numFmtId="0" fontId="44" fillId="3" borderId="0" xfId="33" applyFont="1" applyFill="1" applyAlignment="1" applyProtection="1">
      <alignment horizontal="left"/>
    </xf>
    <xf numFmtId="164" fontId="14" fillId="0" borderId="0" xfId="4" applyNumberFormat="1" applyFont="1" applyAlignment="1">
      <alignment horizontal="right"/>
    </xf>
    <xf numFmtId="164" fontId="14" fillId="3" borderId="0" xfId="4" applyNumberFormat="1" applyFont="1" applyFill="1" applyAlignment="1">
      <alignment horizontal="right"/>
    </xf>
    <xf numFmtId="2" fontId="14" fillId="3" borderId="0" xfId="4" applyNumberFormat="1" applyFont="1" applyFill="1"/>
    <xf numFmtId="164" fontId="14" fillId="3" borderId="0" xfId="4" applyNumberFormat="1" applyFont="1" applyFill="1" applyAlignment="1">
      <alignment horizontal="center"/>
    </xf>
    <xf numFmtId="164" fontId="47" fillId="3" borderId="0" xfId="4" applyNumberFormat="1" applyFont="1" applyFill="1" applyAlignment="1">
      <alignment horizontal="right"/>
    </xf>
    <xf numFmtId="0" fontId="12" fillId="3" borderId="4" xfId="4" applyFont="1" applyFill="1" applyBorder="1" applyProtection="1">
      <protection locked="0"/>
    </xf>
    <xf numFmtId="0" fontId="12" fillId="0" borderId="1" xfId="4" applyFont="1" applyBorder="1" applyAlignment="1" applyProtection="1">
      <alignment horizontal="center"/>
      <protection locked="0"/>
    </xf>
    <xf numFmtId="2" fontId="15" fillId="0" borderId="1" xfId="4" applyNumberFormat="1" applyFont="1" applyBorder="1" applyAlignment="1">
      <alignment horizontal="center" vertical="center"/>
    </xf>
    <xf numFmtId="2" fontId="15" fillId="0" borderId="2" xfId="4" applyNumberFormat="1" applyFont="1" applyBorder="1" applyAlignment="1">
      <alignment horizontal="center" vertical="center"/>
    </xf>
    <xf numFmtId="0" fontId="23" fillId="0" borderId="0" xfId="4" applyFont="1" applyAlignment="1">
      <alignment vertical="center"/>
    </xf>
    <xf numFmtId="0" fontId="23" fillId="0" borderId="0" xfId="4" applyFont="1" applyAlignment="1">
      <alignment horizontal="right" vertical="center" wrapText="1"/>
    </xf>
    <xf numFmtId="15" fontId="23" fillId="0" borderId="0" xfId="4" applyNumberFormat="1" applyFont="1" applyAlignment="1">
      <alignment horizontal="left" vertical="center" wrapText="1"/>
    </xf>
    <xf numFmtId="0" fontId="13" fillId="0" borderId="0" xfId="4" applyFont="1"/>
    <xf numFmtId="0" fontId="24" fillId="0" borderId="0" xfId="4" applyFont="1" applyAlignment="1">
      <alignment horizontal="center"/>
    </xf>
    <xf numFmtId="0" fontId="28" fillId="0" borderId="0" xfId="4" applyFont="1"/>
    <xf numFmtId="0" fontId="38" fillId="0" borderId="0" xfId="4" applyFont="1"/>
    <xf numFmtId="0" fontId="12" fillId="0" borderId="0" xfId="4" applyFont="1" applyAlignment="1">
      <alignment horizontal="left"/>
    </xf>
    <xf numFmtId="0" fontId="24" fillId="0" borderId="0" xfId="4" applyFont="1" applyAlignment="1">
      <alignment horizontal="left"/>
    </xf>
    <xf numFmtId="0" fontId="11" fillId="0" borderId="0" xfId="4" applyFont="1"/>
    <xf numFmtId="0" fontId="11" fillId="0" borderId="0" xfId="4" applyFont="1" applyAlignment="1">
      <alignment horizontal="right"/>
    </xf>
    <xf numFmtId="0" fontId="23" fillId="0" borderId="0" xfId="4" applyFont="1" applyAlignment="1">
      <alignment horizontal="right"/>
    </xf>
    <xf numFmtId="166" fontId="23" fillId="0" borderId="0" xfId="16" applyNumberFormat="1" applyFont="1" applyProtection="1">
      <protection locked="0"/>
    </xf>
    <xf numFmtId="0" fontId="11" fillId="3" borderId="0" xfId="4" applyFont="1" applyFill="1"/>
    <xf numFmtId="0" fontId="24" fillId="3" borderId="0" xfId="4" applyFont="1" applyFill="1"/>
    <xf numFmtId="0" fontId="38" fillId="3" borderId="0" xfId="4" applyFont="1" applyFill="1"/>
    <xf numFmtId="15" fontId="41" fillId="0" borderId="0" xfId="4" applyNumberFormat="1" applyFont="1" applyAlignment="1">
      <alignment horizontal="center" vertical="center" wrapText="1"/>
    </xf>
    <xf numFmtId="0" fontId="41" fillId="0" borderId="0" xfId="4" applyFont="1" applyAlignment="1">
      <alignment horizontal="center" vertical="center" wrapText="1"/>
    </xf>
    <xf numFmtId="0" fontId="38" fillId="0" borderId="39" xfId="4" applyFont="1" applyBorder="1" applyAlignment="1">
      <alignment horizontal="center"/>
    </xf>
    <xf numFmtId="0" fontId="38" fillId="0" borderId="39" xfId="4" applyFont="1" applyBorder="1" applyAlignment="1">
      <alignment horizontal="center" wrapText="1"/>
    </xf>
    <xf numFmtId="0" fontId="38" fillId="0" borderId="58" xfId="4" applyFont="1" applyBorder="1" applyAlignment="1">
      <alignment horizontal="center" wrapText="1"/>
    </xf>
    <xf numFmtId="0" fontId="38" fillId="0" borderId="58" xfId="4" applyFont="1" applyBorder="1" applyAlignment="1">
      <alignment horizontal="center"/>
    </xf>
    <xf numFmtId="0" fontId="24" fillId="0" borderId="32" xfId="4" applyFont="1" applyBorder="1" applyAlignment="1">
      <alignment horizontal="left"/>
    </xf>
    <xf numFmtId="0" fontId="24" fillId="0" borderId="31" xfId="4" applyFont="1" applyBorder="1"/>
    <xf numFmtId="0" fontId="24" fillId="0" borderId="32" xfId="4" applyFont="1" applyBorder="1"/>
    <xf numFmtId="0" fontId="28" fillId="0" borderId="0" xfId="4" applyFont="1" applyAlignment="1">
      <alignment horizontal="left" indent="4"/>
    </xf>
    <xf numFmtId="0" fontId="24" fillId="0" borderId="62" xfId="4" applyFont="1" applyBorder="1"/>
    <xf numFmtId="0" fontId="24" fillId="0" borderId="33" xfId="4" applyFont="1" applyBorder="1"/>
    <xf numFmtId="0" fontId="38" fillId="0" borderId="59" xfId="4" applyFont="1" applyBorder="1" applyAlignment="1">
      <alignment horizontal="center"/>
    </xf>
    <xf numFmtId="0" fontId="24" fillId="0" borderId="50" xfId="4" applyFont="1" applyBorder="1"/>
    <xf numFmtId="0" fontId="38" fillId="0" borderId="39" xfId="4" applyFont="1" applyBorder="1"/>
    <xf numFmtId="0" fontId="38" fillId="0" borderId="45" xfId="4" applyFont="1" applyBorder="1" applyAlignment="1">
      <alignment horizontal="center" wrapText="1"/>
    </xf>
    <xf numFmtId="0" fontId="38" fillId="0" borderId="32" xfId="4" applyFont="1" applyBorder="1" applyAlignment="1">
      <alignment horizontal="center"/>
    </xf>
    <xf numFmtId="0" fontId="24" fillId="0" borderId="45" xfId="4" applyFont="1" applyBorder="1" applyAlignment="1">
      <alignment horizontal="left" wrapText="1"/>
    </xf>
    <xf numFmtId="0" fontId="24" fillId="0" borderId="32" xfId="4" applyFont="1" applyBorder="1" applyAlignment="1">
      <alignment horizontal="center"/>
    </xf>
    <xf numFmtId="0" fontId="24" fillId="0" borderId="48" xfId="4" applyFont="1" applyBorder="1" applyAlignment="1">
      <alignment horizontal="left" wrapText="1"/>
    </xf>
    <xf numFmtId="0" fontId="24" fillId="0" borderId="33" xfId="4" applyFont="1" applyBorder="1" applyAlignment="1">
      <alignment horizontal="center"/>
    </xf>
    <xf numFmtId="0" fontId="24" fillId="0" borderId="0" xfId="4" applyFont="1" applyAlignment="1">
      <alignment horizontal="center" vertical="center" wrapText="1"/>
    </xf>
    <xf numFmtId="0" fontId="24" fillId="0" borderId="0" xfId="4" applyFont="1" applyAlignment="1">
      <alignment horizontal="center" wrapText="1"/>
    </xf>
    <xf numFmtId="0" fontId="38" fillId="0" borderId="0" xfId="4" applyFont="1" applyAlignment="1">
      <alignment horizontal="center"/>
    </xf>
    <xf numFmtId="0" fontId="38" fillId="0" borderId="0" xfId="4" applyFont="1" applyAlignment="1">
      <alignment vertical="top" wrapText="1"/>
    </xf>
    <xf numFmtId="0" fontId="24" fillId="0" borderId="0" xfId="4" applyFont="1" applyAlignment="1">
      <alignment wrapText="1"/>
    </xf>
    <xf numFmtId="0" fontId="29" fillId="0" borderId="0" xfId="21" applyAlignment="1" applyProtection="1"/>
    <xf numFmtId="0" fontId="28" fillId="0" borderId="22" xfId="0" applyFont="1" applyBorder="1" applyAlignment="1">
      <alignment horizontal="center"/>
    </xf>
    <xf numFmtId="0" fontId="29" fillId="0" borderId="21" xfId="21" applyBorder="1" applyAlignment="1" applyProtection="1"/>
    <xf numFmtId="0" fontId="29" fillId="0" borderId="7" xfId="21" applyFill="1" applyBorder="1" applyAlignment="1" applyProtection="1">
      <alignment horizontal="left"/>
    </xf>
    <xf numFmtId="166" fontId="28" fillId="0" borderId="22" xfId="0" applyNumberFormat="1" applyFont="1" applyBorder="1" applyAlignment="1"/>
    <xf numFmtId="0" fontId="27" fillId="0" borderId="37" xfId="15" applyFont="1" applyBorder="1" applyAlignment="1">
      <alignment horizontal="center"/>
    </xf>
    <xf numFmtId="0" fontId="27" fillId="0" borderId="41" xfId="0" applyFont="1" applyBorder="1" applyAlignment="1">
      <alignment horizontal="center"/>
    </xf>
    <xf numFmtId="2" fontId="0" fillId="0" borderId="5" xfId="0" applyNumberFormat="1" applyBorder="1"/>
    <xf numFmtId="0" fontId="15" fillId="0" borderId="3" xfId="15" applyFont="1" applyFill="1" applyBorder="1"/>
    <xf numFmtId="0" fontId="28" fillId="0" borderId="1" xfId="0" applyFont="1" applyFill="1" applyBorder="1" applyAlignment="1">
      <alignment horizontal="left" vertical="center"/>
    </xf>
    <xf numFmtId="0" fontId="46" fillId="0" borderId="0" xfId="21" applyFont="1" applyFill="1" applyAlignment="1" applyProtection="1">
      <alignment horizontal="left"/>
    </xf>
    <xf numFmtId="0" fontId="46" fillId="3" borderId="0" xfId="21" applyFont="1" applyFill="1" applyAlignment="1" applyProtection="1">
      <alignment horizontal="left"/>
    </xf>
    <xf numFmtId="1" fontId="46" fillId="3" borderId="0" xfId="21" applyNumberFormat="1" applyFont="1" applyFill="1" applyBorder="1" applyAlignment="1" applyProtection="1"/>
    <xf numFmtId="1" fontId="46" fillId="0" borderId="0" xfId="21" applyNumberFormat="1" applyFont="1" applyBorder="1" applyAlignment="1" applyProtection="1"/>
    <xf numFmtId="0" fontId="23" fillId="0" borderId="0" xfId="14" applyFont="1" applyAlignment="1"/>
    <xf numFmtId="1" fontId="48" fillId="3" borderId="0" xfId="21" applyNumberFormat="1" applyFont="1" applyFill="1" applyBorder="1" applyAlignment="1" applyProtection="1"/>
    <xf numFmtId="49" fontId="11" fillId="3" borderId="0" xfId="5" applyNumberFormat="1" applyFont="1" applyFill="1" applyAlignment="1">
      <alignment horizontal="left"/>
    </xf>
    <xf numFmtId="0" fontId="16" fillId="0" borderId="0" xfId="5" applyFont="1" applyFill="1" applyBorder="1"/>
    <xf numFmtId="0" fontId="0" fillId="0" borderId="1" xfId="0" applyBorder="1" applyAlignment="1">
      <alignment horizontal="right"/>
    </xf>
    <xf numFmtId="0" fontId="49" fillId="0" borderId="0" xfId="14" applyFont="1"/>
    <xf numFmtId="0" fontId="49" fillId="0" borderId="1" xfId="14" applyFont="1" applyBorder="1"/>
    <xf numFmtId="2" fontId="15" fillId="0" borderId="1" xfId="0" applyNumberFormat="1" applyFont="1" applyBorder="1" applyAlignment="1">
      <alignment horizontal="center" vertical="center"/>
    </xf>
    <xf numFmtId="0" fontId="15" fillId="0" borderId="3" xfId="15" applyFont="1" applyBorder="1"/>
    <xf numFmtId="2" fontId="15" fillId="0" borderId="3" xfId="15" applyNumberFormat="1" applyFont="1" applyBorder="1" applyAlignment="1">
      <alignment horizontal="center"/>
    </xf>
    <xf numFmtId="2" fontId="15" fillId="0" borderId="11" xfId="4" applyNumberFormat="1" applyFont="1" applyBorder="1" applyAlignment="1">
      <alignment horizontal="center" vertical="center"/>
    </xf>
    <xf numFmtId="2" fontId="15" fillId="0" borderId="1" xfId="16" applyNumberFormat="1" applyFont="1" applyFill="1" applyBorder="1" applyAlignment="1">
      <alignment horizontal="center"/>
    </xf>
    <xf numFmtId="0" fontId="15" fillId="0" borderId="3" xfId="5" applyFont="1" applyBorder="1" applyAlignment="1">
      <alignment horizontal="centerContinuous" vertical="center"/>
    </xf>
    <xf numFmtId="167" fontId="15" fillId="0" borderId="63" xfId="9" applyNumberFormat="1" applyFont="1" applyFill="1" applyBorder="1" applyAlignment="1">
      <alignment horizontal="center"/>
    </xf>
    <xf numFmtId="9" fontId="15" fillId="0" borderId="3" xfId="3" applyFont="1" applyBorder="1" applyAlignment="1">
      <alignment horizontal="center"/>
    </xf>
    <xf numFmtId="0" fontId="12" fillId="0" borderId="1" xfId="4" applyFont="1" applyBorder="1"/>
    <xf numFmtId="0" fontId="12" fillId="0" borderId="1" xfId="14" applyFont="1" applyBorder="1"/>
    <xf numFmtId="0" fontId="15" fillId="0" borderId="3" xfId="4" applyFont="1" applyBorder="1" applyAlignment="1" applyProtection="1">
      <alignment horizontal="center" textRotation="90"/>
      <protection locked="0"/>
    </xf>
    <xf numFmtId="2" fontId="15" fillId="0" borderId="7" xfId="5" applyNumberFormat="1" applyFont="1" applyBorder="1" applyAlignment="1">
      <alignment horizontal="center"/>
    </xf>
    <xf numFmtId="9" fontId="15" fillId="0" borderId="11" xfId="3" applyFont="1" applyFill="1" applyBorder="1" applyAlignment="1">
      <alignment horizontal="center"/>
    </xf>
    <xf numFmtId="2" fontId="15" fillId="4" borderId="3" xfId="4" applyNumberFormat="1" applyFont="1" applyFill="1" applyBorder="1" applyAlignment="1">
      <alignment horizontal="center"/>
    </xf>
    <xf numFmtId="1" fontId="20" fillId="0" borderId="7" xfId="5" applyNumberFormat="1" applyFont="1" applyBorder="1" applyAlignment="1">
      <alignment horizontal="center"/>
    </xf>
    <xf numFmtId="9" fontId="15" fillId="0" borderId="7" xfId="15" applyNumberFormat="1" applyFont="1" applyBorder="1"/>
    <xf numFmtId="9" fontId="15" fillId="0" borderId="3" xfId="15" applyNumberFormat="1" applyFont="1" applyBorder="1"/>
    <xf numFmtId="0" fontId="13" fillId="0" borderId="1" xfId="14" applyFont="1" applyBorder="1" applyAlignment="1">
      <alignment horizontal="center"/>
    </xf>
    <xf numFmtId="0" fontId="15" fillId="0" borderId="3" xfId="4" applyFont="1" applyFill="1" applyBorder="1" applyAlignment="1">
      <alignment horizontal="center" textRotation="90"/>
    </xf>
    <xf numFmtId="0" fontId="15" fillId="0" borderId="3" xfId="4" applyFont="1" applyFill="1" applyBorder="1" applyAlignment="1">
      <alignment horizontal="center"/>
    </xf>
    <xf numFmtId="2" fontId="15" fillId="0" borderId="7" xfId="5" applyNumberFormat="1" applyFont="1" applyFill="1" applyBorder="1" applyAlignment="1">
      <alignment horizontal="center"/>
    </xf>
    <xf numFmtId="9" fontId="15" fillId="0" borderId="3" xfId="3" applyNumberFormat="1" applyFont="1" applyFill="1" applyBorder="1" applyAlignment="1">
      <alignment horizontal="center"/>
    </xf>
    <xf numFmtId="2" fontId="15" fillId="0" borderId="7" xfId="4" applyNumberFormat="1" applyFont="1" applyFill="1" applyBorder="1" applyAlignment="1">
      <alignment horizontal="center"/>
    </xf>
    <xf numFmtId="1" fontId="20" fillId="0" borderId="3" xfId="5" applyNumberFormat="1" applyFont="1" applyFill="1" applyBorder="1" applyAlignment="1">
      <alignment horizontal="center"/>
    </xf>
    <xf numFmtId="0" fontId="20" fillId="0" borderId="3" xfId="5" applyFont="1" applyFill="1" applyBorder="1" applyAlignment="1">
      <alignment horizontal="center"/>
    </xf>
    <xf numFmtId="0" fontId="12" fillId="0" borderId="1" xfId="4" applyFont="1" applyFill="1" applyBorder="1"/>
    <xf numFmtId="0" fontId="15" fillId="0" borderId="3" xfId="0" applyFont="1" applyFill="1" applyBorder="1" applyAlignment="1">
      <alignment horizontal="center" textRotation="90"/>
    </xf>
    <xf numFmtId="9" fontId="15" fillId="14" borderId="3" xfId="3" applyFont="1" applyFill="1" applyBorder="1" applyAlignment="1">
      <alignment horizontal="center"/>
    </xf>
    <xf numFmtId="2" fontId="15" fillId="0" borderId="3" xfId="4" applyNumberFormat="1" applyFont="1" applyFill="1" applyBorder="1" applyAlignment="1">
      <alignment horizontal="center"/>
    </xf>
    <xf numFmtId="0" fontId="12" fillId="0" borderId="11" xfId="0" applyFont="1" applyFill="1" applyBorder="1" applyAlignment="1">
      <alignment horizontal="center"/>
    </xf>
    <xf numFmtId="0" fontId="50" fillId="5" borderId="1" xfId="4" applyFont="1" applyFill="1" applyBorder="1"/>
    <xf numFmtId="0" fontId="50" fillId="15" borderId="1" xfId="4" applyFont="1" applyFill="1" applyBorder="1" applyAlignment="1">
      <alignment horizontal="center"/>
    </xf>
    <xf numFmtId="0" fontId="28" fillId="0" borderId="1" xfId="4" applyFont="1" applyBorder="1"/>
    <xf numFmtId="0" fontId="28" fillId="0" borderId="1" xfId="16" applyFont="1" applyBorder="1"/>
    <xf numFmtId="0" fontId="51" fillId="0" borderId="1" xfId="4" applyFont="1" applyBorder="1"/>
    <xf numFmtId="0" fontId="29" fillId="0" borderId="25" xfId="21" applyBorder="1" applyAlignment="1" applyProtection="1"/>
    <xf numFmtId="15" fontId="28" fillId="0" borderId="55" xfId="0" applyNumberFormat="1" applyFont="1" applyBorder="1" applyAlignment="1"/>
    <xf numFmtId="9" fontId="49" fillId="0" borderId="1" xfId="3" applyFont="1" applyBorder="1"/>
    <xf numFmtId="2" fontId="15" fillId="0" borderId="1" xfId="0" applyNumberFormat="1" applyFont="1" applyBorder="1" applyAlignment="1">
      <alignment horizontal="center"/>
    </xf>
    <xf numFmtId="0" fontId="15" fillId="0" borderId="3" xfId="15" applyFont="1" applyFill="1" applyBorder="1" applyAlignment="1">
      <alignment horizontal="right"/>
    </xf>
    <xf numFmtId="166" fontId="29" fillId="0" borderId="0" xfId="21" applyNumberFormat="1" applyFill="1" applyBorder="1" applyAlignment="1" applyProtection="1">
      <protection locked="0"/>
    </xf>
    <xf numFmtId="0" fontId="24" fillId="0" borderId="59" xfId="4" applyFont="1" applyBorder="1"/>
    <xf numFmtId="0" fontId="24" fillId="0" borderId="60" xfId="4" applyFont="1" applyBorder="1"/>
    <xf numFmtId="0" fontId="24" fillId="0" borderId="0" xfId="4" applyFont="1" applyBorder="1"/>
    <xf numFmtId="0" fontId="24" fillId="0" borderId="0" xfId="4" applyFont="1" applyBorder="1" applyAlignment="1">
      <alignment horizontal="left"/>
    </xf>
    <xf numFmtId="0" fontId="26" fillId="0" borderId="0" xfId="39" applyFont="1" applyFill="1" applyAlignment="1" applyProtection="1"/>
    <xf numFmtId="0" fontId="37" fillId="0" borderId="0" xfId="14" applyFont="1" applyAlignment="1">
      <alignment horizontal="center"/>
    </xf>
    <xf numFmtId="0" fontId="11" fillId="0" borderId="0" xfId="14" applyFont="1" applyAlignment="1">
      <alignment horizontal="right"/>
    </xf>
    <xf numFmtId="0" fontId="11" fillId="0" borderId="0" xfId="14" applyFont="1" applyAlignment="1">
      <alignment horizontal="left"/>
    </xf>
    <xf numFmtId="0" fontId="15" fillId="0" borderId="0" xfId="14" applyFont="1" applyAlignment="1">
      <alignment horizontal="left"/>
    </xf>
    <xf numFmtId="0" fontId="46" fillId="0" borderId="0" xfId="39" applyFont="1" applyFill="1" applyAlignment="1" applyProtection="1"/>
    <xf numFmtId="166" fontId="15" fillId="0" borderId="0" xfId="14" applyNumberFormat="1" applyFont="1" applyAlignment="1">
      <alignment horizontal="left"/>
    </xf>
    <xf numFmtId="1" fontId="15" fillId="0" borderId="0" xfId="14" applyNumberFormat="1" applyFont="1" applyAlignment="1">
      <alignment horizontal="center"/>
    </xf>
    <xf numFmtId="1" fontId="15" fillId="0" borderId="0" xfId="14" applyNumberFormat="1" applyFont="1" applyAlignment="1">
      <alignment horizontal="left"/>
    </xf>
    <xf numFmtId="0" fontId="19" fillId="0" borderId="3" xfId="15" applyFont="1" applyBorder="1"/>
    <xf numFmtId="0" fontId="15" fillId="0" borderId="3" xfId="15" applyFont="1" applyBorder="1" applyAlignment="1">
      <alignment horizontal="right"/>
    </xf>
    <xf numFmtId="2" fontId="15" fillId="0" borderId="1" xfId="40" applyNumberFormat="1" applyFont="1" applyBorder="1" applyAlignment="1">
      <alignment horizontal="center"/>
    </xf>
    <xf numFmtId="0" fontId="39" fillId="0" borderId="0" xfId="14" applyFont="1" applyAlignment="1">
      <alignment horizontal="center"/>
    </xf>
    <xf numFmtId="2" fontId="15" fillId="0" borderId="2" xfId="40" applyNumberFormat="1" applyFont="1" applyBorder="1" applyAlignment="1">
      <alignment horizontal="center"/>
    </xf>
    <xf numFmtId="0" fontId="16" fillId="0" borderId="3" xfId="16" applyFont="1" applyBorder="1"/>
    <xf numFmtId="0" fontId="15" fillId="0" borderId="5" xfId="14" applyFont="1" applyBorder="1" applyAlignment="1">
      <alignment horizontal="center"/>
    </xf>
    <xf numFmtId="0" fontId="15" fillId="0" borderId="3" xfId="15" applyFont="1" applyBorder="1" applyAlignment="1">
      <alignment horizontal="center"/>
    </xf>
    <xf numFmtId="0" fontId="29" fillId="0" borderId="0" xfId="21" applyFont="1" applyAlignment="1" applyProtection="1"/>
    <xf numFmtId="15" fontId="24" fillId="0" borderId="0" xfId="4" applyNumberFormat="1" applyFont="1"/>
    <xf numFmtId="9" fontId="24" fillId="0" borderId="1" xfId="4" applyNumberFormat="1" applyFont="1" applyBorder="1"/>
    <xf numFmtId="0" fontId="10" fillId="0" borderId="0" xfId="41" applyFont="1" applyAlignment="1">
      <alignment horizontal="center" vertical="center" wrapText="1"/>
    </xf>
    <xf numFmtId="0" fontId="43" fillId="0" borderId="0" xfId="41" applyFont="1" applyAlignment="1">
      <alignment horizontal="center" vertical="center"/>
    </xf>
    <xf numFmtId="0" fontId="52" fillId="0" borderId="0" xfId="41" applyFont="1" applyAlignment="1">
      <alignment horizontal="center" vertical="center" wrapText="1"/>
    </xf>
    <xf numFmtId="0" fontId="53" fillId="0" borderId="2" xfId="24" applyFont="1" applyBorder="1" applyAlignment="1">
      <alignment horizontal="center" vertical="center" textRotation="180"/>
    </xf>
    <xf numFmtId="0" fontId="53" fillId="5" borderId="2" xfId="24" applyFont="1" applyFill="1" applyBorder="1" applyAlignment="1">
      <alignment horizontal="center" vertical="center" textRotation="180"/>
    </xf>
    <xf numFmtId="0" fontId="55" fillId="0" borderId="26" xfId="41" applyFont="1" applyBorder="1"/>
    <xf numFmtId="0" fontId="55" fillId="0" borderId="28" xfId="41" applyFont="1" applyBorder="1"/>
    <xf numFmtId="0" fontId="55" fillId="0" borderId="28" xfId="24" applyFont="1" applyBorder="1" applyAlignment="1">
      <alignment horizontal="center" vertical="center"/>
    </xf>
    <xf numFmtId="0" fontId="55" fillId="0" borderId="27" xfId="24" applyFont="1" applyBorder="1" applyAlignment="1">
      <alignment horizontal="center" vertical="center"/>
    </xf>
    <xf numFmtId="0" fontId="55" fillId="0" borderId="13" xfId="41" applyFont="1" applyBorder="1"/>
    <xf numFmtId="0" fontId="55" fillId="0" borderId="1" xfId="41" applyFont="1" applyBorder="1"/>
    <xf numFmtId="0" fontId="55" fillId="0" borderId="1" xfId="24" applyFont="1" applyBorder="1" applyAlignment="1">
      <alignment horizontal="center" vertical="center"/>
    </xf>
    <xf numFmtId="0" fontId="55" fillId="0" borderId="14" xfId="24" applyFont="1" applyBorder="1" applyAlignment="1">
      <alignment horizontal="center" vertical="center"/>
    </xf>
    <xf numFmtId="0" fontId="55" fillId="0" borderId="18" xfId="41" applyFont="1" applyBorder="1"/>
    <xf numFmtId="0" fontId="55" fillId="0" borderId="19" xfId="41" applyFont="1" applyBorder="1" applyAlignment="1">
      <alignment wrapText="1"/>
    </xf>
    <xf numFmtId="0" fontId="55" fillId="0" borderId="19" xfId="24" applyFont="1" applyBorder="1" applyAlignment="1">
      <alignment horizontal="center" vertical="center"/>
    </xf>
    <xf numFmtId="0" fontId="55" fillId="0" borderId="20" xfId="24" applyFont="1" applyBorder="1" applyAlignment="1">
      <alignment horizontal="center" vertical="center"/>
    </xf>
    <xf numFmtId="0" fontId="55" fillId="0" borderId="19" xfId="41" applyFont="1" applyBorder="1"/>
    <xf numFmtId="2" fontId="12" fillId="0" borderId="1" xfId="4" applyNumberFormat="1" applyFont="1" applyFill="1" applyBorder="1" applyAlignment="1">
      <alignment horizontal="center"/>
    </xf>
    <xf numFmtId="0" fontId="15" fillId="0" borderId="3" xfId="4" applyFont="1" applyBorder="1" applyAlignment="1">
      <alignment horizontal="center"/>
    </xf>
    <xf numFmtId="0" fontId="15" fillId="0" borderId="3" xfId="0" applyFont="1" applyFill="1" applyBorder="1" applyAlignment="1">
      <alignment horizontal="center"/>
    </xf>
    <xf numFmtId="0" fontId="15" fillId="0" borderId="11" xfId="0" applyFont="1" applyFill="1" applyBorder="1" applyAlignment="1">
      <alignment horizontal="center"/>
    </xf>
    <xf numFmtId="0" fontId="15" fillId="0" borderId="0" xfId="14" applyFont="1" applyAlignment="1">
      <alignment horizontal="center"/>
    </xf>
    <xf numFmtId="0" fontId="38" fillId="0" borderId="61" xfId="4" applyFont="1" applyBorder="1" applyAlignment="1">
      <alignment horizontal="center" vertical="center" wrapText="1"/>
    </xf>
    <xf numFmtId="0" fontId="1" fillId="0" borderId="21" xfId="33" applyFont="1" applyBorder="1" applyAlignment="1" applyProtection="1"/>
    <xf numFmtId="0" fontId="1" fillId="0" borderId="10" xfId="33" applyFont="1" applyBorder="1" applyAlignment="1" applyProtection="1"/>
    <xf numFmtId="0" fontId="1" fillId="0" borderId="5" xfId="33" applyFont="1" applyBorder="1" applyAlignment="1" applyProtection="1"/>
    <xf numFmtId="0" fontId="1" fillId="0" borderId="13" xfId="33" applyFont="1" applyBorder="1" applyAlignment="1" applyProtection="1"/>
    <xf numFmtId="0" fontId="1" fillId="0" borderId="6" xfId="33" applyFont="1" applyBorder="1" applyAlignment="1" applyProtection="1"/>
    <xf numFmtId="0" fontId="1" fillId="0" borderId="1" xfId="33" applyFont="1" applyBorder="1" applyAlignment="1" applyProtection="1"/>
    <xf numFmtId="0" fontId="15" fillId="0" borderId="3" xfId="4" applyFont="1" applyBorder="1" applyAlignment="1">
      <alignment horizontal="center"/>
    </xf>
    <xf numFmtId="0" fontId="15" fillId="0" borderId="6" xfId="4" applyFont="1" applyBorder="1" applyAlignment="1">
      <alignment horizontal="center"/>
    </xf>
    <xf numFmtId="0" fontId="15" fillId="0" borderId="4" xfId="4" applyFont="1" applyBorder="1" applyAlignment="1">
      <alignment horizontal="center"/>
    </xf>
    <xf numFmtId="0" fontId="19" fillId="6" borderId="23" xfId="5" applyFont="1" applyFill="1" applyBorder="1" applyAlignment="1">
      <alignment horizontal="left"/>
    </xf>
    <xf numFmtId="0" fontId="19" fillId="6" borderId="30" xfId="5" applyFont="1" applyFill="1" applyBorder="1" applyAlignment="1">
      <alignment horizontal="left"/>
    </xf>
    <xf numFmtId="0" fontId="19" fillId="6" borderId="24" xfId="5" applyFont="1" applyFill="1" applyBorder="1" applyAlignment="1">
      <alignment horizontal="left"/>
    </xf>
    <xf numFmtId="0" fontId="19" fillId="5" borderId="23" xfId="10" applyFont="1" applyFill="1" applyBorder="1" applyAlignment="1">
      <alignment horizontal="left"/>
    </xf>
    <xf numFmtId="0" fontId="19" fillId="5" borderId="24" xfId="10" applyFont="1" applyFill="1" applyBorder="1" applyAlignment="1">
      <alignment horizontal="left"/>
    </xf>
    <xf numFmtId="0" fontId="16" fillId="5" borderId="57" xfId="10" applyFont="1" applyFill="1" applyBorder="1" applyAlignment="1">
      <alignment horizontal="left"/>
    </xf>
    <xf numFmtId="0" fontId="16" fillId="5" borderId="56" xfId="10" applyFont="1" applyFill="1" applyBorder="1" applyAlignment="1">
      <alignment horizontal="left"/>
    </xf>
    <xf numFmtId="0" fontId="19" fillId="5" borderId="23" xfId="14" applyFont="1" applyFill="1" applyBorder="1" applyAlignment="1">
      <alignment horizontal="left"/>
    </xf>
    <xf numFmtId="0" fontId="19" fillId="5" borderId="24" xfId="14" applyFont="1" applyFill="1" applyBorder="1" applyAlignment="1">
      <alignment horizontal="left"/>
    </xf>
    <xf numFmtId="0" fontId="19" fillId="7" borderId="23" xfId="14" applyFont="1" applyFill="1" applyBorder="1" applyAlignment="1">
      <alignment horizontal="center"/>
    </xf>
    <xf numFmtId="0" fontId="19" fillId="7" borderId="24" xfId="14" applyFont="1" applyFill="1" applyBorder="1" applyAlignment="1">
      <alignment horizontal="center"/>
    </xf>
    <xf numFmtId="0" fontId="19" fillId="8" borderId="23" xfId="14" applyFont="1" applyFill="1" applyBorder="1" applyAlignment="1">
      <alignment horizontal="center"/>
    </xf>
    <xf numFmtId="0" fontId="19" fillId="8" borderId="24" xfId="14" applyFont="1" applyFill="1" applyBorder="1" applyAlignment="1">
      <alignment horizontal="center"/>
    </xf>
    <xf numFmtId="0" fontId="19" fillId="9" borderId="23" xfId="14" applyFont="1" applyFill="1" applyBorder="1" applyAlignment="1">
      <alignment horizontal="center"/>
    </xf>
    <xf numFmtId="0" fontId="19" fillId="9" borderId="24" xfId="14" applyFont="1" applyFill="1" applyBorder="1" applyAlignment="1">
      <alignment horizontal="center"/>
    </xf>
    <xf numFmtId="0" fontId="23" fillId="0" borderId="0" xfId="4" applyFont="1" applyAlignment="1">
      <alignment horizontal="left"/>
    </xf>
    <xf numFmtId="166" fontId="23" fillId="0" borderId="0" xfId="5" applyNumberFormat="1" applyFont="1" applyAlignment="1" applyProtection="1">
      <alignment horizontal="left"/>
      <protection locked="0"/>
    </xf>
    <xf numFmtId="166" fontId="11" fillId="0" borderId="0" xfId="5" applyNumberFormat="1" applyFont="1" applyAlignment="1">
      <alignment horizontal="left"/>
    </xf>
    <xf numFmtId="0" fontId="11" fillId="0" borderId="0" xfId="5" applyFont="1" applyAlignment="1">
      <alignment horizontal="left"/>
    </xf>
    <xf numFmtId="0" fontId="23" fillId="0" borderId="0" xfId="5" applyFont="1" applyAlignment="1">
      <alignment horizontal="left"/>
    </xf>
    <xf numFmtId="0" fontId="15" fillId="3" borderId="3" xfId="4" applyFont="1" applyFill="1" applyBorder="1" applyAlignment="1" applyProtection="1">
      <alignment horizontal="center"/>
      <protection locked="0"/>
    </xf>
    <xf numFmtId="0" fontId="15" fillId="3" borderId="6" xfId="4" applyFont="1" applyFill="1" applyBorder="1" applyAlignment="1" applyProtection="1">
      <alignment horizontal="center"/>
      <protection locked="0"/>
    </xf>
    <xf numFmtId="0" fontId="15" fillId="3" borderId="4" xfId="4" applyFont="1" applyFill="1" applyBorder="1" applyAlignment="1" applyProtection="1">
      <alignment horizontal="center"/>
      <protection locked="0"/>
    </xf>
    <xf numFmtId="0" fontId="15" fillId="0" borderId="3" xfId="4" applyFont="1" applyBorder="1" applyAlignment="1" applyProtection="1">
      <alignment horizontal="center"/>
      <protection locked="0"/>
    </xf>
    <xf numFmtId="0" fontId="15" fillId="0" borderId="6" xfId="4" applyFont="1" applyBorder="1" applyAlignment="1" applyProtection="1">
      <alignment horizontal="center"/>
      <protection locked="0"/>
    </xf>
    <xf numFmtId="0" fontId="15" fillId="0" borderId="4" xfId="4" applyFont="1" applyBorder="1" applyAlignment="1" applyProtection="1">
      <alignment horizontal="center"/>
      <protection locked="0"/>
    </xf>
    <xf numFmtId="0" fontId="12" fillId="0" borderId="3" xfId="4" applyFont="1" applyBorder="1" applyAlignment="1">
      <alignment horizontal="center"/>
    </xf>
    <xf numFmtId="0" fontId="12" fillId="0" borderId="4" xfId="4" applyFont="1" applyBorder="1" applyAlignment="1">
      <alignment horizontal="center"/>
    </xf>
    <xf numFmtId="0" fontId="12" fillId="0" borderId="6" xfId="4" applyFont="1" applyBorder="1" applyAlignment="1">
      <alignment horizontal="center"/>
    </xf>
    <xf numFmtId="0" fontId="12" fillId="3" borderId="3" xfId="4" applyFont="1" applyFill="1" applyBorder="1" applyAlignment="1" applyProtection="1">
      <alignment horizontal="center"/>
      <protection locked="0"/>
    </xf>
    <xf numFmtId="0" fontId="12" fillId="3" borderId="6" xfId="4" applyFont="1" applyFill="1" applyBorder="1" applyAlignment="1" applyProtection="1">
      <alignment horizontal="center"/>
      <protection locked="0"/>
    </xf>
    <xf numFmtId="0" fontId="12" fillId="3" borderId="4" xfId="4" applyFont="1" applyFill="1" applyBorder="1" applyAlignment="1" applyProtection="1">
      <alignment horizontal="center"/>
      <protection locked="0"/>
    </xf>
    <xf numFmtId="0" fontId="12" fillId="0" borderId="3" xfId="4" applyFont="1" applyBorder="1" applyAlignment="1" applyProtection="1">
      <alignment horizontal="center"/>
      <protection locked="0"/>
    </xf>
    <xf numFmtId="0" fontId="12" fillId="0" borderId="6" xfId="4" applyFont="1" applyBorder="1" applyAlignment="1" applyProtection="1">
      <alignment horizontal="center"/>
      <protection locked="0"/>
    </xf>
    <xf numFmtId="2" fontId="12" fillId="0" borderId="0" xfId="5" applyNumberFormat="1" applyFont="1" applyFill="1" applyBorder="1" applyAlignment="1">
      <alignment horizontal="center"/>
    </xf>
    <xf numFmtId="0" fontId="15" fillId="0" borderId="11" xfId="4" applyFont="1" applyFill="1" applyBorder="1" applyAlignment="1">
      <alignment horizontal="center"/>
    </xf>
    <xf numFmtId="0" fontId="15" fillId="0" borderId="8" xfId="4" applyFont="1" applyFill="1" applyBorder="1" applyAlignment="1">
      <alignment horizontal="center"/>
    </xf>
    <xf numFmtId="0" fontId="15" fillId="0" borderId="9" xfId="4" applyFont="1" applyFill="1" applyBorder="1" applyAlignment="1">
      <alignment horizontal="center"/>
    </xf>
    <xf numFmtId="0" fontId="23" fillId="0" borderId="0" xfId="4" applyFont="1" applyFill="1" applyBorder="1" applyAlignment="1">
      <alignment horizontal="left"/>
    </xf>
    <xf numFmtId="166" fontId="23" fillId="0" borderId="0" xfId="5" applyNumberFormat="1" applyFont="1" applyFill="1" applyBorder="1" applyAlignment="1" applyProtection="1">
      <alignment horizontal="left"/>
      <protection locked="0"/>
    </xf>
    <xf numFmtId="166" fontId="11" fillId="0" borderId="0" xfId="5" applyNumberFormat="1" applyFont="1" applyFill="1" applyBorder="1" applyAlignment="1">
      <alignment horizontal="left"/>
    </xf>
    <xf numFmtId="0" fontId="11" fillId="0" borderId="0" xfId="5" applyFont="1" applyFill="1" applyBorder="1" applyAlignment="1">
      <alignment horizontal="left"/>
    </xf>
    <xf numFmtId="0" fontId="16" fillId="6" borderId="23" xfId="5" applyFont="1" applyFill="1" applyBorder="1" applyAlignment="1">
      <alignment horizontal="left"/>
    </xf>
    <xf numFmtId="0" fontId="16" fillId="6" borderId="30" xfId="5" applyFont="1" applyFill="1" applyBorder="1" applyAlignment="1">
      <alignment horizontal="left"/>
    </xf>
    <xf numFmtId="0" fontId="16" fillId="6" borderId="24" xfId="5" applyFont="1" applyFill="1" applyBorder="1" applyAlignment="1">
      <alignment horizontal="left"/>
    </xf>
    <xf numFmtId="0" fontId="16" fillId="5" borderId="23" xfId="10" applyFont="1" applyFill="1" applyBorder="1" applyAlignment="1">
      <alignment horizontal="left"/>
    </xf>
    <xf numFmtId="0" fontId="16" fillId="5" borderId="24" xfId="10" applyFont="1" applyFill="1" applyBorder="1" applyAlignment="1">
      <alignment horizontal="left"/>
    </xf>
    <xf numFmtId="0" fontId="16" fillId="5" borderId="57" xfId="14" applyFont="1" applyFill="1" applyBorder="1" applyAlignment="1">
      <alignment horizontal="left"/>
    </xf>
    <xf numFmtId="0" fontId="16" fillId="5" borderId="56" xfId="14" applyFont="1" applyFill="1" applyBorder="1" applyAlignment="1">
      <alignment horizontal="left"/>
    </xf>
    <xf numFmtId="0" fontId="15" fillId="0" borderId="3" xfId="0" applyFont="1" applyFill="1" applyBorder="1" applyAlignment="1">
      <alignment horizontal="center"/>
    </xf>
    <xf numFmtId="0" fontId="15" fillId="0" borderId="6" xfId="0" applyFont="1" applyFill="1" applyBorder="1" applyAlignment="1">
      <alignment horizontal="center"/>
    </xf>
    <xf numFmtId="0" fontId="16" fillId="5" borderId="16" xfId="14" applyFont="1" applyFill="1" applyBorder="1" applyAlignment="1">
      <alignment horizontal="left"/>
    </xf>
    <xf numFmtId="0" fontId="16" fillId="5" borderId="17" xfId="14" applyFont="1" applyFill="1" applyBorder="1" applyAlignment="1">
      <alignment horizontal="left"/>
    </xf>
    <xf numFmtId="0" fontId="19" fillId="5" borderId="57" xfId="14" applyFont="1" applyFill="1" applyBorder="1" applyAlignment="1">
      <alignment horizontal="left"/>
    </xf>
    <xf numFmtId="0" fontId="19" fillId="5" borderId="56" xfId="14" applyFont="1" applyFill="1" applyBorder="1" applyAlignment="1">
      <alignment horizontal="left"/>
    </xf>
    <xf numFmtId="0" fontId="15" fillId="0" borderId="4" xfId="0" applyFont="1" applyFill="1" applyBorder="1" applyAlignment="1">
      <alignment horizontal="center"/>
    </xf>
    <xf numFmtId="0" fontId="16" fillId="5" borderId="16" xfId="10" applyFont="1" applyFill="1" applyBorder="1" applyAlignment="1">
      <alignment horizontal="left"/>
    </xf>
    <xf numFmtId="0" fontId="16" fillId="5" borderId="17" xfId="10" applyFont="1" applyFill="1" applyBorder="1" applyAlignment="1">
      <alignment horizontal="left"/>
    </xf>
    <xf numFmtId="0" fontId="16" fillId="5" borderId="23" xfId="5" applyFont="1" applyFill="1" applyBorder="1" applyAlignment="1">
      <alignment horizontal="left"/>
    </xf>
    <xf numFmtId="0" fontId="16" fillId="5" borderId="30" xfId="5" applyFont="1" applyFill="1" applyBorder="1" applyAlignment="1">
      <alignment horizontal="left"/>
    </xf>
    <xf numFmtId="0" fontId="16" fillId="5" borderId="24" xfId="5" applyFont="1" applyFill="1" applyBorder="1" applyAlignment="1">
      <alignment horizontal="left"/>
    </xf>
    <xf numFmtId="0" fontId="16" fillId="5" borderId="23" xfId="14" applyFont="1" applyFill="1" applyBorder="1" applyAlignment="1">
      <alignment horizontal="left"/>
    </xf>
    <xf numFmtId="0" fontId="16" fillId="5" borderId="24" xfId="14" applyFont="1" applyFill="1" applyBorder="1" applyAlignment="1">
      <alignment horizontal="left"/>
    </xf>
    <xf numFmtId="0" fontId="15" fillId="0" borderId="11" xfId="0" applyFont="1" applyFill="1" applyBorder="1" applyAlignment="1">
      <alignment horizontal="center"/>
    </xf>
    <xf numFmtId="0" fontId="15" fillId="0" borderId="9" xfId="0" applyFont="1" applyFill="1" applyBorder="1" applyAlignment="1">
      <alignment horizontal="center"/>
    </xf>
    <xf numFmtId="0" fontId="15" fillId="0" borderId="8" xfId="0" applyFont="1" applyFill="1" applyBorder="1" applyAlignment="1">
      <alignment horizontal="center"/>
    </xf>
    <xf numFmtId="0" fontId="19" fillId="0" borderId="0" xfId="14" applyFont="1" applyFill="1" applyBorder="1" applyAlignment="1">
      <alignment horizontal="center"/>
    </xf>
    <xf numFmtId="0" fontId="19" fillId="5" borderId="30" xfId="14" applyFont="1" applyFill="1" applyBorder="1" applyAlignment="1">
      <alignment horizontal="left"/>
    </xf>
    <xf numFmtId="166" fontId="23" fillId="0" borderId="0" xfId="14" applyNumberFormat="1" applyFont="1" applyAlignment="1">
      <alignment horizontal="left"/>
    </xf>
    <xf numFmtId="0" fontId="23" fillId="0" borderId="0" xfId="14" applyFont="1" applyAlignment="1">
      <alignment horizontal="left"/>
    </xf>
    <xf numFmtId="0" fontId="15" fillId="0" borderId="0" xfId="14" applyFont="1" applyAlignment="1">
      <alignment horizontal="center"/>
    </xf>
    <xf numFmtId="0" fontId="54" fillId="16" borderId="58" xfId="24" applyFont="1" applyFill="1" applyBorder="1" applyAlignment="1">
      <alignment horizontal="center" vertical="center" textRotation="180"/>
    </xf>
    <xf numFmtId="0" fontId="54" fillId="16" borderId="59" xfId="24" applyFont="1" applyFill="1" applyBorder="1" applyAlignment="1">
      <alignment horizontal="center" vertical="center" textRotation="180"/>
    </xf>
    <xf numFmtId="0" fontId="54" fillId="16" borderId="60" xfId="24" applyFont="1" applyFill="1" applyBorder="1" applyAlignment="1">
      <alignment horizontal="center" vertical="center" textRotation="180"/>
    </xf>
    <xf numFmtId="0" fontId="37" fillId="0" borderId="10" xfId="4" applyFont="1" applyBorder="1" applyAlignment="1">
      <alignment horizontal="center"/>
    </xf>
    <xf numFmtId="0" fontId="54" fillId="16" borderId="58" xfId="24" applyFont="1" applyFill="1" applyBorder="1" applyAlignment="1">
      <alignment horizontal="center" vertical="center" textRotation="180" wrapText="1"/>
    </xf>
    <xf numFmtId="0" fontId="54" fillId="16" borderId="59" xfId="24" applyFont="1" applyFill="1" applyBorder="1" applyAlignment="1">
      <alignment horizontal="center" vertical="center" textRotation="180" wrapText="1"/>
    </xf>
    <xf numFmtId="0" fontId="54" fillId="16" borderId="60" xfId="24" applyFont="1" applyFill="1" applyBorder="1" applyAlignment="1">
      <alignment horizontal="center" vertical="center" textRotation="180" wrapText="1"/>
    </xf>
    <xf numFmtId="0" fontId="54" fillId="16" borderId="57" xfId="24" applyFont="1" applyFill="1" applyBorder="1" applyAlignment="1">
      <alignment horizontal="center" vertical="center" textRotation="180" wrapText="1"/>
    </xf>
    <xf numFmtId="0" fontId="54" fillId="16" borderId="61" xfId="24" applyFont="1" applyFill="1" applyBorder="1" applyAlignment="1">
      <alignment horizontal="center" vertical="center" textRotation="180" wrapText="1"/>
    </xf>
    <xf numFmtId="0" fontId="54" fillId="16" borderId="64" xfId="24" applyFont="1" applyFill="1" applyBorder="1" applyAlignment="1">
      <alignment horizontal="center" vertical="center" textRotation="180" wrapText="1"/>
    </xf>
    <xf numFmtId="0" fontId="38" fillId="0" borderId="58" xfId="4" applyFont="1" applyBorder="1" applyAlignment="1">
      <alignment horizontal="center" vertical="center" wrapText="1"/>
    </xf>
    <xf numFmtId="0" fontId="38" fillId="0" borderId="59" xfId="4" applyFont="1" applyBorder="1" applyAlignment="1">
      <alignment horizontal="center" vertical="center" wrapText="1"/>
    </xf>
    <xf numFmtId="0" fontId="38" fillId="0" borderId="60" xfId="4" applyFont="1" applyBorder="1" applyAlignment="1">
      <alignment horizontal="center" vertical="center" wrapText="1"/>
    </xf>
    <xf numFmtId="0" fontId="38" fillId="0" borderId="23" xfId="4" applyFont="1" applyBorder="1" applyAlignment="1">
      <alignment horizontal="center" vertical="center" wrapText="1"/>
    </xf>
    <xf numFmtId="0" fontId="24" fillId="0" borderId="24" xfId="4" applyFont="1" applyBorder="1" applyAlignment="1">
      <alignment horizontal="center" vertical="center" wrapText="1"/>
    </xf>
    <xf numFmtId="0" fontId="41" fillId="0" borderId="23" xfId="4" applyFont="1" applyBorder="1" applyAlignment="1">
      <alignment horizontal="center" vertical="center" wrapText="1"/>
    </xf>
    <xf numFmtId="0" fontId="41" fillId="0" borderId="24" xfId="4" applyFont="1" applyBorder="1" applyAlignment="1">
      <alignment horizontal="center" vertical="center" wrapText="1"/>
    </xf>
    <xf numFmtId="0" fontId="38" fillId="0" borderId="61" xfId="4" applyFont="1" applyBorder="1" applyAlignment="1">
      <alignment horizontal="center" vertical="center" wrapText="1"/>
    </xf>
    <xf numFmtId="0" fontId="38" fillId="3" borderId="58" xfId="4" applyFont="1" applyFill="1" applyBorder="1" applyAlignment="1">
      <alignment horizontal="center" vertical="center" wrapText="1"/>
    </xf>
    <xf numFmtId="0" fontId="38" fillId="3" borderId="60" xfId="4" applyFont="1" applyFill="1" applyBorder="1" applyAlignment="1">
      <alignment horizontal="center" vertical="center" wrapText="1"/>
    </xf>
    <xf numFmtId="0" fontId="38" fillId="0" borderId="58" xfId="4" applyFont="1" applyBorder="1" applyAlignment="1">
      <alignment horizontal="center" vertical="center"/>
    </xf>
    <xf numFmtId="0" fontId="38" fillId="0" borderId="60" xfId="4" applyFont="1" applyBorder="1" applyAlignment="1">
      <alignment horizontal="center" vertical="center"/>
    </xf>
  </cellXfs>
  <cellStyles count="42">
    <cellStyle name="Comma 2" xfId="9" xr:uid="{00000000-0005-0000-0000-000000000000}"/>
    <cellStyle name="Comma 2 2" xfId="13" xr:uid="{00000000-0005-0000-0000-000001000000}"/>
    <cellStyle name="Comma 3" xfId="22" xr:uid="{00000000-0005-0000-0000-000002000000}"/>
    <cellStyle name="Hyperlink" xfId="21" builtinId="8" customBuiltin="1"/>
    <cellStyle name="Hyperlink 2" xfId="34" xr:uid="{00000000-0005-0000-0000-000004000000}"/>
    <cellStyle name="Hyperlink 3" xfId="33" xr:uid="{00000000-0005-0000-0000-000005000000}"/>
    <cellStyle name="Hyperlink 3 2" xfId="39" xr:uid="{00000000-0005-0000-0000-000006000000}"/>
    <cellStyle name="Normal" xfId="0" builtinId="0"/>
    <cellStyle name="Normal 2" xfId="4" xr:uid="{00000000-0005-0000-0000-000008000000}"/>
    <cellStyle name="Normal 2 2" xfId="14" xr:uid="{00000000-0005-0000-0000-000009000000}"/>
    <cellStyle name="Normal 2 2 2" xfId="10" xr:uid="{00000000-0005-0000-0000-00000A000000}"/>
    <cellStyle name="Normal 2 3" xfId="8" xr:uid="{00000000-0005-0000-0000-00000B000000}"/>
    <cellStyle name="Normal 3" xfId="15" xr:uid="{00000000-0005-0000-0000-00000C000000}"/>
    <cellStyle name="Normal 3 2" xfId="16" xr:uid="{00000000-0005-0000-0000-00000D000000}"/>
    <cellStyle name="Normal 3 2 2" xfId="5" xr:uid="{00000000-0005-0000-0000-00000E000000}"/>
    <cellStyle name="Normal 3 3" xfId="6" xr:uid="{00000000-0005-0000-0000-00000F000000}"/>
    <cellStyle name="Normal 3 3 2" xfId="19" xr:uid="{00000000-0005-0000-0000-000010000000}"/>
    <cellStyle name="Normal 3 3 2 2" xfId="37" xr:uid="{00000000-0005-0000-0000-000011000000}"/>
    <cellStyle name="Normal 3 3 3" xfId="29" xr:uid="{00000000-0005-0000-0000-000012000000}"/>
    <cellStyle name="Normal 3 4" xfId="23" xr:uid="{00000000-0005-0000-0000-000013000000}"/>
    <cellStyle name="Normal 3 5" xfId="35" xr:uid="{00000000-0005-0000-0000-000014000000}"/>
    <cellStyle name="Normal 4" xfId="24" xr:uid="{00000000-0005-0000-0000-000015000000}"/>
    <cellStyle name="Normal 4 2" xfId="31" xr:uid="{00000000-0005-0000-0000-000016000000}"/>
    <cellStyle name="Normal 5" xfId="25" xr:uid="{00000000-0005-0000-0000-000017000000}"/>
    <cellStyle name="Normal 5 2" xfId="32" xr:uid="{00000000-0005-0000-0000-000018000000}"/>
    <cellStyle name="Normal 5 2 2" xfId="36" xr:uid="{00000000-0005-0000-0000-000019000000}"/>
    <cellStyle name="Normal 5 2 2 2" xfId="40" xr:uid="{00000000-0005-0000-0000-00001A000000}"/>
    <cellStyle name="Normal 7" xfId="41" xr:uid="{00000000-0005-0000-0000-00001B000000}"/>
    <cellStyle name="Normal_Task Options - Gooch Chopped" xfId="12" xr:uid="{00000000-0005-0000-0000-00001C000000}"/>
    <cellStyle name="Normal1" xfId="1" xr:uid="{00000000-0005-0000-0000-00001D000000}"/>
    <cellStyle name="Normal2" xfId="2" xr:uid="{00000000-0005-0000-0000-00001E000000}"/>
    <cellStyle name="Percent" xfId="3" builtinId="5"/>
    <cellStyle name="Percent 2" xfId="7" xr:uid="{00000000-0005-0000-0000-000020000000}"/>
    <cellStyle name="Percent 2 2" xfId="11" xr:uid="{00000000-0005-0000-0000-000021000000}"/>
    <cellStyle name="Percent 2 2 2" xfId="18" xr:uid="{00000000-0005-0000-0000-000022000000}"/>
    <cellStyle name="Percent 2 3" xfId="17" xr:uid="{00000000-0005-0000-0000-000023000000}"/>
    <cellStyle name="Percent 2 4" xfId="20" xr:uid="{00000000-0005-0000-0000-000024000000}"/>
    <cellStyle name="Percent 2 5" xfId="26" xr:uid="{00000000-0005-0000-0000-000025000000}"/>
    <cellStyle name="Percent 2 5 2" xfId="38" xr:uid="{00000000-0005-0000-0000-000026000000}"/>
    <cellStyle name="Percent 2 6" xfId="30" xr:uid="{00000000-0005-0000-0000-000027000000}"/>
    <cellStyle name="Percent 3" xfId="27" xr:uid="{00000000-0005-0000-0000-000028000000}"/>
    <cellStyle name="Percent 3 2" xfId="28" xr:uid="{00000000-0005-0000-0000-000029000000}"/>
  </cellStyles>
  <dxfs count="543">
    <dxf>
      <fill>
        <patternFill>
          <bgColor theme="9" tint="0.79998168889431442"/>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66FF66"/>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66FF66"/>
      </font>
    </dxf>
    <dxf>
      <font>
        <color rgb="FFFFFF9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FF99"/>
      </font>
    </dxf>
    <dxf>
      <font>
        <color rgb="FFFFFF99"/>
      </font>
    </dxf>
    <dxf>
      <font>
        <color rgb="FF66FF66"/>
      </font>
    </dxf>
    <dxf>
      <font>
        <color rgb="FFFFFF99"/>
      </font>
    </dxf>
    <dxf>
      <font>
        <color rgb="FF66FF66"/>
      </font>
    </dxf>
    <dxf>
      <font>
        <color rgb="FFFF7979"/>
      </font>
    </dxf>
    <dxf>
      <font>
        <color rgb="FFFF7979"/>
      </font>
    </dxf>
    <dxf>
      <font>
        <color rgb="FFFFFF99"/>
      </font>
    </dxf>
    <dxf>
      <font>
        <color rgb="FF66FF66"/>
      </font>
    </dxf>
    <dxf>
      <font>
        <color rgb="FFFFFF99"/>
      </font>
    </dxf>
    <dxf>
      <font>
        <color rgb="FFFF7979"/>
      </font>
    </dxf>
    <dxf>
      <font>
        <color rgb="FFFF7979"/>
      </font>
    </dxf>
    <dxf>
      <font>
        <color rgb="FFFFFF99"/>
      </font>
    </dxf>
    <dxf>
      <font>
        <color rgb="FF66FF66"/>
      </font>
    </dxf>
    <dxf>
      <font>
        <color rgb="FFFFFF99"/>
      </font>
    </dxf>
    <dxf>
      <font>
        <color rgb="FFFF7979"/>
      </font>
    </dxf>
    <dxf>
      <font>
        <color rgb="FFFF7979"/>
      </font>
    </dxf>
    <dxf>
      <font>
        <color rgb="FFFFFF99"/>
      </font>
    </dxf>
    <dxf>
      <font>
        <color rgb="FF66FF66"/>
      </font>
    </dxf>
    <dxf>
      <font>
        <color rgb="FFFFFF99"/>
      </font>
    </dxf>
    <dxf>
      <font>
        <color rgb="FFFF7979"/>
      </font>
    </dxf>
    <dxf>
      <font>
        <color rgb="FFFF7979"/>
      </font>
    </dxf>
    <dxf>
      <font>
        <color rgb="FFFF7979"/>
      </font>
    </dxf>
    <dxf>
      <font>
        <color rgb="FFFFFF99"/>
      </font>
    </dxf>
    <dxf>
      <font>
        <color rgb="FFFFFF99"/>
      </font>
    </dxf>
    <dxf>
      <font>
        <color rgb="FF66FF66"/>
      </font>
    </dxf>
    <dxf>
      <font>
        <color rgb="FFFFFF99"/>
      </font>
    </dxf>
    <dxf>
      <font>
        <color rgb="FFFF7979"/>
      </font>
    </dxf>
    <dxf>
      <font>
        <color rgb="FFFF7979"/>
      </font>
    </dxf>
    <dxf>
      <font>
        <color rgb="FFFF7979"/>
      </font>
    </dxf>
    <dxf>
      <font>
        <color rgb="FFFFFF99"/>
      </font>
    </dxf>
    <dxf>
      <font>
        <color rgb="FFFFFF99"/>
      </font>
    </dxf>
    <dxf>
      <font>
        <color rgb="FF66FF66"/>
      </font>
    </dxf>
    <dxf>
      <font>
        <color rgb="FFFFFF99"/>
      </font>
    </dxf>
    <dxf>
      <font>
        <color rgb="FF66FF66"/>
      </font>
    </dxf>
    <dxf>
      <font>
        <color rgb="FFFFFF99"/>
      </font>
    </dxf>
    <dxf>
      <font>
        <color rgb="FF66FF66"/>
      </font>
    </dxf>
    <dxf>
      <font>
        <color rgb="FFFFFF99"/>
      </font>
    </dxf>
    <dxf>
      <font>
        <color rgb="FFFFFF99"/>
      </font>
    </dxf>
    <dxf>
      <font>
        <color rgb="FF66FF66"/>
      </font>
    </dxf>
    <dxf>
      <font>
        <color rgb="FFFFFF99"/>
      </font>
    </dxf>
    <dxf>
      <font>
        <color rgb="FFFFFF99"/>
      </font>
    </dxf>
    <dxf>
      <font>
        <color rgb="FF66FF66"/>
      </font>
    </dxf>
    <dxf>
      <font>
        <color rgb="FFFFFF99"/>
      </font>
    </dxf>
    <dxf>
      <font>
        <color rgb="FFFFFF99"/>
      </font>
    </dxf>
    <dxf>
      <font>
        <color rgb="FFFFFF99"/>
      </font>
    </dxf>
    <dxf>
      <font>
        <color rgb="FF66FF66"/>
      </font>
    </dxf>
    <dxf>
      <font>
        <color rgb="FFFFFF99"/>
      </font>
    </dxf>
    <dxf>
      <font>
        <color rgb="FFFFFF99"/>
      </font>
    </dxf>
    <dxf>
      <font>
        <color rgb="FFFFFF99"/>
      </font>
    </dxf>
    <dxf>
      <font>
        <color rgb="FF66FF66"/>
      </font>
    </dxf>
    <dxf>
      <font>
        <color rgb="FFFF7979"/>
      </font>
    </dxf>
    <dxf>
      <font>
        <color rgb="FFFF7979"/>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66FF66"/>
      </font>
    </dxf>
    <dxf>
      <font>
        <color rgb="FFFFFF9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FF99"/>
      </font>
    </dxf>
    <dxf>
      <font>
        <color rgb="FFFFFF99"/>
      </font>
    </dxf>
    <dxf>
      <font>
        <color rgb="FF66FF66"/>
      </font>
    </dxf>
    <dxf>
      <font>
        <b val="0"/>
        <i/>
        <condense val="0"/>
        <extend val="0"/>
      </font>
      <fill>
        <patternFill>
          <bgColor indexed="43"/>
        </patternFill>
      </fill>
    </dxf>
    <dxf>
      <font>
        <color rgb="FF66FF66"/>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66FF66"/>
      </font>
    </dxf>
    <dxf>
      <font>
        <color rgb="FFFFFF9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FF99"/>
      </font>
    </dxf>
    <dxf>
      <font>
        <color rgb="FFFFFF99"/>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66FF66"/>
      </font>
    </dxf>
    <dxf>
      <font>
        <color rgb="FFFFFF9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FF99"/>
      </font>
    </dxf>
    <dxf>
      <font>
        <color rgb="FFFFFF99"/>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66FF66"/>
      </font>
    </dxf>
    <dxf>
      <font>
        <color rgb="FFFFFF9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FF99"/>
      </font>
    </dxf>
    <dxf>
      <font>
        <color rgb="FFFFFF99"/>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66FF66"/>
      </font>
    </dxf>
    <dxf>
      <font>
        <color rgb="FFFFFF9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FF99"/>
      </font>
    </dxf>
    <dxf>
      <font>
        <color rgb="FFFFFF99"/>
      </font>
    </dxf>
    <dxf>
      <font>
        <color rgb="FF66FF66"/>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FF7979"/>
      </font>
    </dxf>
    <dxf>
      <font>
        <color rgb="FFFF7979"/>
      </font>
    </dxf>
    <dxf>
      <font>
        <color rgb="FFFFFF99"/>
      </font>
    </dxf>
    <dxf>
      <font>
        <color rgb="FF66FF66"/>
      </font>
    </dxf>
    <dxf>
      <font>
        <color rgb="FFFFFF9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FF99"/>
      </font>
    </dxf>
    <dxf>
      <font>
        <color rgb="FFFFFF99"/>
      </font>
    </dxf>
    <dxf>
      <font>
        <color rgb="FF66FF66"/>
      </font>
    </dxf>
    <dxf>
      <font>
        <b val="0"/>
        <i/>
        <condense val="0"/>
        <extend val="0"/>
      </font>
      <fill>
        <patternFill>
          <bgColor indexed="43"/>
        </patternFill>
      </fill>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66FF66"/>
      </font>
    </dxf>
    <dxf>
      <font>
        <color rgb="FFFFFF9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FF9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FF7979"/>
      </font>
    </dxf>
    <dxf>
      <font>
        <color rgb="FFFF7979"/>
      </font>
    </dxf>
    <dxf>
      <font>
        <color rgb="FFFFFF99"/>
      </font>
    </dxf>
    <dxf>
      <font>
        <color rgb="FF66FF66"/>
      </font>
    </dxf>
    <dxf>
      <font>
        <color rgb="FF66FF66"/>
      </font>
    </dxf>
    <dxf>
      <font>
        <color rgb="FFFFFF9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7979"/>
      </font>
    </dxf>
    <dxf>
      <font>
        <color rgb="FFFFFF99"/>
      </font>
    </dxf>
    <dxf>
      <font>
        <color rgb="FFFFFF99"/>
      </font>
    </dxf>
    <dxf>
      <font>
        <color rgb="FF66FF66"/>
      </font>
    </dxf>
  </dxfs>
  <tableStyles count="0" defaultTableStyle="TableStyleMedium9"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6.bin"/><Relationship Id="rId1" Type="http://schemas.openxmlformats.org/officeDocument/2006/relationships/hyperlink" Target="https://flankspeed.sharepoint-mil.us.mcas-gov.us/sites/CPF-CNAP-HQ/N42/N422/SharedDocuments/Forms/AllItems.aspx?RootFolder=%2Fsites%2FCPF%2DCNAP%2DHQ%2FN42%2FN422%2FSharedDocuments%2FN422C%20NAMP%2FMESMs&amp;FolderCTID=0x012000DF16210E418C3840B293E75187CA959E" TargetMode="External"/><Relationship Id="rId4" Type="http://schemas.openxmlformats.org/officeDocument/2006/relationships/comments" Target="../comments1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2"/>
  <sheetViews>
    <sheetView showGridLines="0" tabSelected="1" workbookViewId="0">
      <selection activeCell="A5" sqref="A5"/>
    </sheetView>
  </sheetViews>
  <sheetFormatPr defaultRowHeight="15" x14ac:dyDescent="0.25"/>
  <cols>
    <col min="1" max="1" width="64.140625" style="181" bestFit="1" customWidth="1"/>
    <col min="2" max="2" width="13" style="181" customWidth="1"/>
    <col min="3" max="3" width="6.42578125" style="181" customWidth="1"/>
    <col min="4" max="4" width="11.5703125" style="184" customWidth="1"/>
    <col min="5" max="5" width="9.42578125" style="181" bestFit="1" customWidth="1"/>
    <col min="6" max="16384" width="9.140625" style="181"/>
  </cols>
  <sheetData>
    <row r="1" spans="1:5" ht="15.75" thickBot="1" x14ac:dyDescent="0.3">
      <c r="A1" s="617" t="s">
        <v>0</v>
      </c>
      <c r="B1" s="291" t="s">
        <v>1</v>
      </c>
      <c r="C1" s="291" t="s">
        <v>2</v>
      </c>
      <c r="D1" s="618" t="s">
        <v>3</v>
      </c>
      <c r="E1" s="180"/>
    </row>
    <row r="2" spans="1:5" x14ac:dyDescent="0.25">
      <c r="A2" s="614" t="str">
        <f>'HSC CVW 5AC DRRS'!A1</f>
        <v>Readiness Standards HSC MH-60S CVW 5 ACFT 9 Crew</v>
      </c>
      <c r="B2" s="615" t="s">
        <v>1</v>
      </c>
      <c r="C2" s="619">
        <f>'HSC CVW 5AC DRRS'!AD1</f>
        <v>7.01</v>
      </c>
      <c r="D2" s="616">
        <f>'HSC CVW 5AC DRRS'!M1</f>
        <v>44835</v>
      </c>
      <c r="E2" s="185" t="str">
        <f t="shared" ref="E2:E10" ca="1" si="0">IF(D2&gt;NOW()-90," ! NEW","")</f>
        <v/>
      </c>
    </row>
    <row r="3" spans="1:5" x14ac:dyDescent="0.25">
      <c r="A3" s="370" t="str">
        <f>'HSC CVW 5AC FDNF DRRS'!A1</f>
        <v>Readiness Standards HSC MH-60S CVW FDNF 5 ACFT 9 Crew</v>
      </c>
      <c r="B3" s="472" t="s">
        <v>1</v>
      </c>
      <c r="C3" s="427">
        <f>'HSC CVW 5AC FDNF DRRS'!AD1</f>
        <v>7.02</v>
      </c>
      <c r="D3" s="242">
        <f>'HSC CVW 5AC FDNF DRRS'!M1</f>
        <v>44835</v>
      </c>
      <c r="E3" s="185" t="str">
        <f t="shared" ca="1" si="0"/>
        <v/>
      </c>
    </row>
    <row r="4" spans="1:5" x14ac:dyDescent="0.25">
      <c r="A4" s="370" t="str">
        <f>'HSC EXP 3AC CSG ESG W Kit DRRS'!A1:E1</f>
        <v>Readiness Standards HSC MH-60S 3 ACFT 4.5 CREW CSG/ESG with KITS</v>
      </c>
      <c r="B4" s="472" t="s">
        <v>1</v>
      </c>
      <c r="C4" s="425">
        <f>'HSC EXP 3AC CSG ESG W Kit DRRS'!AD1</f>
        <v>7.03</v>
      </c>
      <c r="D4" s="242">
        <f>'HSC EXP 3AC CSG ESG W Kit DRRS'!M1</f>
        <v>44835</v>
      </c>
      <c r="E4" s="185" t="str">
        <f t="shared" ca="1" si="0"/>
        <v/>
      </c>
    </row>
    <row r="5" spans="1:5" x14ac:dyDescent="0.25">
      <c r="A5" s="370" t="str">
        <f>'HSC EXP 1AC MIW DRRS'!A1</f>
        <v>Readiness Standards HSC MH-60S 1 ACFT 2 Crew MIW DET</v>
      </c>
      <c r="B5" s="468" t="s">
        <v>1</v>
      </c>
      <c r="C5" s="425">
        <f>'HSC EXP 1AC MIW DRRS'!AD1</f>
        <v>7.04</v>
      </c>
      <c r="D5" s="242">
        <f>'HSC EXP 1AC MIW DRRS'!M1</f>
        <v>44835</v>
      </c>
      <c r="E5" s="185" t="str">
        <f t="shared" ca="1" si="0"/>
        <v/>
      </c>
    </row>
    <row r="6" spans="1:5" x14ac:dyDescent="0.25">
      <c r="A6" s="370" t="str">
        <f>'HSC EXP 1AC SUW DRRS'!A1</f>
        <v>Readiness Standards HSC MH-60S 1 ACFT 2 Crew SUW DET</v>
      </c>
      <c r="B6" s="468" t="s">
        <v>1</v>
      </c>
      <c r="C6" s="425">
        <f>'HSC EXP 1AC SUW DRRS'!AD1</f>
        <v>7.05</v>
      </c>
      <c r="D6" s="242">
        <f>'HSC EXP 1AC SUW DRRS'!M1</f>
        <v>44835</v>
      </c>
      <c r="E6" s="185" t="str">
        <f t="shared" ca="1" si="0"/>
        <v/>
      </c>
    </row>
    <row r="7" spans="1:5" x14ac:dyDescent="0.25">
      <c r="A7" s="370" t="str">
        <f>'HSC EXP 1AC RFS DRRS'!A1</f>
        <v>Readiness Standards HSC MH-60S 1 ACFT 2 Crew RFS DET</v>
      </c>
      <c r="B7" s="468" t="s">
        <v>1</v>
      </c>
      <c r="C7" s="425">
        <f>'HSC EXP 1AC RFS DRRS'!AD1</f>
        <v>7.06</v>
      </c>
      <c r="D7" s="242">
        <f>'HSC EXP 1AC RFS DRRS'!M1</f>
        <v>44835</v>
      </c>
      <c r="E7" s="185" t="str">
        <f ca="1">IF(D7&gt;NOW()-90," ! NEW","")</f>
        <v/>
      </c>
    </row>
    <row r="8" spans="1:5" x14ac:dyDescent="0.25">
      <c r="A8" s="370" t="str">
        <f>'HSC EXP 4AC RFS DRRS'!A1</f>
        <v>Readiness Standards HSC MH-60S 4 ACFT 6 Crew RFS</v>
      </c>
      <c r="B8" s="468" t="s">
        <v>1</v>
      </c>
      <c r="C8" s="427">
        <f>'HSC EXP 4AC RFS DRRS'!AD1</f>
        <v>7.07</v>
      </c>
      <c r="D8" s="242">
        <f>'HSC EXP 4AC RFS DRRS'!M1</f>
        <v>44835</v>
      </c>
      <c r="E8" s="185" t="str">
        <f t="shared" ca="1" si="0"/>
        <v/>
      </c>
    </row>
    <row r="9" spans="1:5" x14ac:dyDescent="0.25">
      <c r="A9" s="370" t="str">
        <f>'HSC EXP 2AC CLF HUM DRRS'!A1</f>
        <v>Readiness Standards HSC MH-60S 2 ACFT 3 Crew Humanitarian</v>
      </c>
      <c r="B9" s="468" t="s">
        <v>1</v>
      </c>
      <c r="C9" s="425">
        <f>'HSC EXP 2AC CLF HUM DRRS'!AD1</f>
        <v>7.08</v>
      </c>
      <c r="D9" s="242">
        <f>'HSC EXP 2AC CLF HUM DRRS'!M1</f>
        <v>44835</v>
      </c>
      <c r="E9" s="185" t="str">
        <f t="shared" ca="1" si="0"/>
        <v/>
      </c>
    </row>
    <row r="10" spans="1:5" x14ac:dyDescent="0.25">
      <c r="A10" s="370" t="str">
        <f>'HSC EXP 4AC DRRS (HSC-85)'!A1</f>
        <v>Readiness Standards HSC MH-60S 4 Aircraft 6 Crew Reserve</v>
      </c>
      <c r="B10" s="404" t="s">
        <v>1</v>
      </c>
      <c r="C10" s="425">
        <f>'HSC EXP 4AC DRRS (HSC-85)'!AD1</f>
        <v>7.09</v>
      </c>
      <c r="D10" s="242">
        <f>'HSC EXP 4AC DRRS (HSC-85)'!M1</f>
        <v>44835</v>
      </c>
      <c r="E10" s="185" t="str">
        <f t="shared" ca="1" si="0"/>
        <v/>
      </c>
    </row>
    <row r="11" spans="1:5" x14ac:dyDescent="0.25">
      <c r="A11" s="370" t="str">
        <f>'HSC HSC-2 FRS (U)'!A1</f>
        <v>Readiness Standards HSC MH-60S HSC-2 FRS</v>
      </c>
      <c r="B11" s="290"/>
      <c r="C11" s="630" t="str">
        <f>'HSC HSC-2 FRS (U)'!AD1</f>
        <v>7.10</v>
      </c>
      <c r="D11" s="242">
        <f>'HSC HSC-2 FRS (U)'!M1</f>
        <v>44835</v>
      </c>
      <c r="E11" s="185" t="str">
        <f ca="1">IF(D11&gt;NOW()-90," ! NEW","")</f>
        <v/>
      </c>
    </row>
    <row r="12" spans="1:5" x14ac:dyDescent="0.25">
      <c r="A12" s="370" t="str">
        <f>'HSC HSC-3 FRS (U)'!A1</f>
        <v>Readiness Standards HSC MH-60S HSC-3 FRS</v>
      </c>
      <c r="B12" s="290"/>
      <c r="C12" s="425">
        <f>'HSC HSC-3 FRS (U)'!AD1</f>
        <v>7.11</v>
      </c>
      <c r="D12" s="242">
        <f>'HSC HSC-3 FRS (U)'!M1</f>
        <v>44835</v>
      </c>
      <c r="E12" s="185" t="str">
        <f t="shared" ref="E12:E20" ca="1" si="1">IF(D12&gt;NOW()-90," ! NEW","")</f>
        <v/>
      </c>
    </row>
    <row r="13" spans="1:5" x14ac:dyDescent="0.25">
      <c r="A13" s="370" t="str">
        <f>'HSC MH-60R TEST_FAS'!A1</f>
        <v>Readiness Standards HSC MH-6R TEST/STATION FAS</v>
      </c>
      <c r="B13" s="290"/>
      <c r="C13" s="425">
        <f>'HSC MH-60R TEST_FAS'!AD1</f>
        <v>7.12</v>
      </c>
      <c r="D13" s="242">
        <f>'HSC MH-60R TEST_FAS'!H1</f>
        <v>44835</v>
      </c>
      <c r="E13" s="185" t="str">
        <f t="shared" ca="1" si="1"/>
        <v/>
      </c>
    </row>
    <row r="14" spans="1:5" x14ac:dyDescent="0.25">
      <c r="A14" s="370" t="str">
        <f>'HSC MH-60S CVW Reduced Matrix'!C2</f>
        <v>Navy MH-60S TMS CVW Reduced MET to Mission System Map</v>
      </c>
      <c r="B14" s="290"/>
      <c r="C14" s="425"/>
      <c r="D14" s="242">
        <f>'HSC MH-60S CVW Reduced Matrix'!B1</f>
        <v>43435</v>
      </c>
      <c r="E14" s="185" t="str">
        <f t="shared" ca="1" si="1"/>
        <v/>
      </c>
    </row>
    <row r="15" spans="1:5" x14ac:dyDescent="0.25">
      <c r="A15" s="370" t="str">
        <f>'HSC EXP MIW Matrix'!C2</f>
        <v>Navy MH-60S EXP MIW Reduced MET to Mission System Map</v>
      </c>
      <c r="B15" s="404"/>
      <c r="C15" s="425"/>
      <c r="D15" s="242">
        <f>'HSC EXP MIW Matrix'!B1</f>
        <v>43586</v>
      </c>
      <c r="E15" s="185" t="str">
        <f t="shared" ca="1" si="1"/>
        <v/>
      </c>
    </row>
    <row r="16" spans="1:5" x14ac:dyDescent="0.25">
      <c r="A16" s="370" t="str">
        <f>'HSC EXP SUW Matrix '!C2</f>
        <v>Navy MH-60S EXP SUW Reduced MET to Mission System Map</v>
      </c>
      <c r="B16" s="404"/>
      <c r="C16" s="425"/>
      <c r="D16" s="242">
        <f>'HSC EXP SUW Matrix '!B1</f>
        <v>44409</v>
      </c>
      <c r="E16" s="185" t="str">
        <f t="shared" ca="1" si="1"/>
        <v/>
      </c>
    </row>
    <row r="17" spans="1:5" x14ac:dyDescent="0.25">
      <c r="A17" s="370" t="str">
        <f>'HSC EXP 1-4 AC Matrix'!C2</f>
        <v>Navy MH-60S 1-4 AC EXP Reduced MET to Mission System Map</v>
      </c>
      <c r="B17" s="404"/>
      <c r="C17" s="425"/>
      <c r="D17" s="242">
        <f>'HSC EXP 1-4 AC Matrix'!B1</f>
        <v>44409</v>
      </c>
      <c r="E17" s="185" t="str">
        <f t="shared" ca="1" si="1"/>
        <v/>
      </c>
    </row>
    <row r="18" spans="1:5" x14ac:dyDescent="0.25">
      <c r="A18" s="370" t="str">
        <f>'HSC EXP 1-4 AC CLF HUM Matrix'!C2</f>
        <v>Navy MH-60S 1-4 AC EXP CLF HUM Reduced MET to Mission System Map</v>
      </c>
      <c r="B18" s="290"/>
      <c r="C18" s="425"/>
      <c r="D18" s="242">
        <f>'HSC EXP 1-4 AC CLF HUM Matrix'!B1</f>
        <v>44409</v>
      </c>
      <c r="E18" s="185" t="str">
        <f t="shared" ca="1" si="1"/>
        <v/>
      </c>
    </row>
    <row r="19" spans="1:5" x14ac:dyDescent="0.25">
      <c r="A19" s="668" t="str">
        <f>'MH-60S Mission System Summary'!A1</f>
        <v>MH-60S Mission System Utilization per Flight Task</v>
      </c>
      <c r="B19" s="458"/>
      <c r="C19" s="459"/>
      <c r="D19" s="669">
        <f>'MH-60S Mission System Summary'!N1</f>
        <v>44825</v>
      </c>
      <c r="E19" s="185" t="str">
        <f t="shared" ca="1" si="1"/>
        <v/>
      </c>
    </row>
    <row r="20" spans="1:5" x14ac:dyDescent="0.25">
      <c r="A20" s="370" t="str">
        <f>'HSC MH-60S Mission Systems'!A1</f>
        <v>Mission System Groups HSC MH-60S</v>
      </c>
      <c r="B20" s="318"/>
      <c r="C20" s="318"/>
      <c r="D20" s="669">
        <f>'HSC MH-60S Mission Systems'!E1</f>
        <v>44743</v>
      </c>
      <c r="E20" s="185" t="str">
        <f t="shared" ca="1" si="1"/>
        <v/>
      </c>
    </row>
    <row r="21" spans="1:5" x14ac:dyDescent="0.25">
      <c r="A21" s="182"/>
      <c r="B21" s="318"/>
      <c r="C21" s="318"/>
      <c r="D21" s="463"/>
    </row>
    <row r="22" spans="1:5" ht="15.75" thickBot="1" x14ac:dyDescent="0.3">
      <c r="A22" s="457"/>
      <c r="B22" s="466"/>
      <c r="C22" s="466"/>
      <c r="D22" s="467"/>
    </row>
    <row r="23" spans="1:5" x14ac:dyDescent="0.25">
      <c r="A23" s="460" t="s">
        <v>4</v>
      </c>
      <c r="B23" s="461"/>
      <c r="C23" s="461"/>
      <c r="D23" s="462" t="s">
        <v>5</v>
      </c>
    </row>
    <row r="24" spans="1:5" x14ac:dyDescent="0.25">
      <c r="A24" s="182" t="s">
        <v>6</v>
      </c>
      <c r="B24" s="318"/>
      <c r="C24" s="318"/>
      <c r="D24" s="463" t="s">
        <v>5</v>
      </c>
    </row>
    <row r="25" spans="1:5" x14ac:dyDescent="0.25">
      <c r="A25" s="182" t="s">
        <v>7</v>
      </c>
      <c r="B25" s="318"/>
      <c r="C25" s="318"/>
      <c r="D25" s="463" t="s">
        <v>5</v>
      </c>
    </row>
    <row r="26" spans="1:5" x14ac:dyDescent="0.25">
      <c r="A26" s="182" t="s">
        <v>8</v>
      </c>
      <c r="B26" s="318"/>
      <c r="C26" s="318"/>
      <c r="D26" s="463" t="s">
        <v>5</v>
      </c>
    </row>
    <row r="27" spans="1:5" x14ac:dyDescent="0.25">
      <c r="A27" s="182" t="s">
        <v>9</v>
      </c>
      <c r="B27" s="318"/>
      <c r="C27" s="318"/>
      <c r="D27" s="463" t="s">
        <v>5</v>
      </c>
    </row>
    <row r="28" spans="1:5" x14ac:dyDescent="0.25">
      <c r="A28" s="182" t="s">
        <v>10</v>
      </c>
      <c r="B28" s="318"/>
      <c r="C28" s="318"/>
      <c r="D28" s="463" t="s">
        <v>5</v>
      </c>
    </row>
    <row r="29" spans="1:5" x14ac:dyDescent="0.25">
      <c r="A29" s="182" t="s">
        <v>11</v>
      </c>
      <c r="B29" s="318"/>
      <c r="C29" s="318"/>
      <c r="D29" s="463" t="s">
        <v>5</v>
      </c>
    </row>
    <row r="30" spans="1:5" x14ac:dyDescent="0.25">
      <c r="A30" s="182" t="s">
        <v>12</v>
      </c>
      <c r="B30" s="318"/>
      <c r="C30" s="318"/>
      <c r="D30" s="463" t="s">
        <v>5</v>
      </c>
    </row>
    <row r="31" spans="1:5" x14ac:dyDescent="0.25">
      <c r="A31" s="722" t="s">
        <v>13</v>
      </c>
      <c r="B31" s="723"/>
      <c r="C31" s="724"/>
      <c r="D31" s="613" t="s">
        <v>5</v>
      </c>
    </row>
    <row r="32" spans="1:5" x14ac:dyDescent="0.25">
      <c r="A32" s="725" t="s">
        <v>14</v>
      </c>
      <c r="B32" s="726"/>
      <c r="C32" s="727"/>
      <c r="D32" s="463" t="s">
        <v>5</v>
      </c>
    </row>
    <row r="33" spans="1:4" x14ac:dyDescent="0.25">
      <c r="A33" s="182" t="s">
        <v>15</v>
      </c>
      <c r="B33" s="290"/>
      <c r="C33" s="318"/>
      <c r="D33" s="463" t="s">
        <v>5</v>
      </c>
    </row>
    <row r="34" spans="1:4" x14ac:dyDescent="0.25">
      <c r="A34" s="182" t="s">
        <v>16</v>
      </c>
      <c r="B34" s="290"/>
      <c r="C34" s="318"/>
      <c r="D34" s="463" t="s">
        <v>5</v>
      </c>
    </row>
    <row r="35" spans="1:4" x14ac:dyDescent="0.25">
      <c r="A35" s="182" t="s">
        <v>17</v>
      </c>
      <c r="B35" s="318"/>
      <c r="C35" s="318"/>
      <c r="D35" s="463" t="s">
        <v>5</v>
      </c>
    </row>
    <row r="36" spans="1:4" x14ac:dyDescent="0.25">
      <c r="A36" s="182"/>
      <c r="B36" s="318"/>
      <c r="C36" s="318"/>
      <c r="D36" s="463"/>
    </row>
    <row r="37" spans="1:4" x14ac:dyDescent="0.25">
      <c r="A37" s="182"/>
      <c r="B37" s="318"/>
      <c r="C37" s="318"/>
      <c r="D37" s="463"/>
    </row>
    <row r="38" spans="1:4" x14ac:dyDescent="0.25">
      <c r="A38" s="182"/>
      <c r="B38" s="318"/>
      <c r="C38" s="318"/>
      <c r="D38" s="463"/>
    </row>
    <row r="39" spans="1:4" x14ac:dyDescent="0.25">
      <c r="A39" s="182"/>
      <c r="B39" s="318"/>
      <c r="C39" s="318"/>
      <c r="D39" s="463"/>
    </row>
    <row r="40" spans="1:4" ht="15.75" thickBot="1" x14ac:dyDescent="0.3">
      <c r="A40" s="183"/>
      <c r="B40" s="464"/>
      <c r="C40" s="464"/>
      <c r="D40" s="465"/>
    </row>
    <row r="42" spans="1:4" x14ac:dyDescent="0.25">
      <c r="A42" s="186" t="s">
        <v>18</v>
      </c>
      <c r="B42" s="186"/>
      <c r="C42" s="186"/>
    </row>
  </sheetData>
  <phoneticPr fontId="10" type="noConversion"/>
  <hyperlinks>
    <hyperlink ref="A4" location="'HSC EXP 3AC CSG ESG W Kit DRRS'!A1" display="'HSC EXP 3AC CSG ESG W Kit DRRS'!A1" xr:uid="{00000000-0004-0000-0000-000000000000}"/>
    <hyperlink ref="B4" location="'HSC EXP 3AC CSG ESG W Kit DRRS'!A170" display="AMFOM" xr:uid="{00000000-0004-0000-0000-000001000000}"/>
    <hyperlink ref="A10" location="'HSC EXP 4AC DRRS (HSC-85)'!A1" display="'HSC EXP 4AC DRRS (HSC-85)'!A1" xr:uid="{00000000-0004-0000-0000-000002000000}"/>
    <hyperlink ref="B10" location="'HSC EXP 4AC DRRS (HSC-85)'!A170" display="AMFOM" xr:uid="{00000000-0004-0000-0000-000003000000}"/>
    <hyperlink ref="A15" location="'HSC EXP MIW Matrix'!A1" display="'HSC EXP MIW Matrix'!A1" xr:uid="{00000000-0004-0000-0000-000004000000}"/>
    <hyperlink ref="A17" location="'HSC EXP 1-4 AC Matrix'!A1" display="'HSC EXP 1-4 AC Matrix'!A1" xr:uid="{00000000-0004-0000-0000-000005000000}"/>
    <hyperlink ref="A5" location="'HSC EXP 1AC MIW DRRS'!A1" display="'HSC EXP 1AC MIW DRRS'!A1" xr:uid="{00000000-0004-0000-0000-000006000000}"/>
    <hyperlink ref="A6" location="'HSC EXP 1AC SUW DRRS'!A1" display="'HSC EXP 1AC SUW DRRS'!A1" xr:uid="{00000000-0004-0000-0000-000007000000}"/>
    <hyperlink ref="A8" location="'HSC EXP 4AC RFS DRRS'!A1" display="'HSC EXP 4AC RFS DRRS'!A1" xr:uid="{00000000-0004-0000-0000-000008000000}"/>
    <hyperlink ref="A9" location="'HSC EXP 2AC CLF HUM DRRS'!A1" display="'HSC EXP 2AC CLF HUM DRRS'!A1" xr:uid="{00000000-0004-0000-0000-000009000000}"/>
    <hyperlink ref="A7" location="'HSC EXP 1AC RFS DRRS'!A1" display="'HSC EXP 1AC RFS DRRS'!A1" xr:uid="{00000000-0004-0000-0000-00000A000000}"/>
    <hyperlink ref="B5" location="'HSC EXP 1AC MIW DRRS'!A170" display="AMFOM" xr:uid="{00000000-0004-0000-0000-00000B000000}"/>
    <hyperlink ref="A11" location="'HSC HSC-2 FRS (U)'!A1" display="'HSC HSC-2 FRS (U)'!A1" xr:uid="{00000000-0004-0000-0000-00000C000000}"/>
    <hyperlink ref="A12" location="'HSC HSC-3 FRS (U)'!A1" display="'HSC HSC-3 FRS (U)'!A1" xr:uid="{00000000-0004-0000-0000-00000D000000}"/>
    <hyperlink ref="A16" location="'HSC EXP SUW Matrix '!A1" display="'HSC EXP SUW Matrix '!A1" xr:uid="{00000000-0004-0000-0000-00000E000000}"/>
    <hyperlink ref="A18" location="'HSC EXP 1-4 AC CLF HUM Matrix'!A1" display="'HSC EXP 1-4 AC CLF HUM Matrix'!A1" xr:uid="{00000000-0004-0000-0000-00000F000000}"/>
    <hyperlink ref="B6" location="'HSC EXP 1AC SUW DRRS'!A170" display="AMFOM" xr:uid="{00000000-0004-0000-0000-000010000000}"/>
    <hyperlink ref="B7" location="'HSC EXP 1AC RFS DRRS'!A170" display="AMFOM" xr:uid="{00000000-0004-0000-0000-000011000000}"/>
    <hyperlink ref="B8" location="'HSC EXP 4AC RFS DRRS'!A170" display="AMFOM" xr:uid="{00000000-0004-0000-0000-000012000000}"/>
    <hyperlink ref="B9" location="'HSC EXP 2AC CLF HUM DRRS'!A170" display="AMFOM" xr:uid="{00000000-0004-0000-0000-000013000000}"/>
    <hyperlink ref="A2" location="'HSC CVW 5AC DRRS'!A1" display="'HSC CVW 5AC DRRS'!A1" xr:uid="{00000000-0004-0000-0000-000014000000}"/>
    <hyperlink ref="A14" location="'HSC MH-60S CVW Reduced Matrix'!A1" display="'HSC MH-60S CVW Reduced Matrix'!A1" xr:uid="{00000000-0004-0000-0000-000015000000}"/>
    <hyperlink ref="A3" location="'HSC CVW 5AC FDNF DRRS'!A1" display="'HSC CVW 5AC FDNF DRRS'!A1" xr:uid="{00000000-0004-0000-0000-000016000000}"/>
    <hyperlink ref="B2" location="'HSC CVW 5AC DRRS'!A170" display="AMFOM" xr:uid="{00000000-0004-0000-0000-000017000000}"/>
    <hyperlink ref="B3" location="'HSC CVW 5AC FDNF DRRS'!A170" display="AMFOM" xr:uid="{00000000-0004-0000-0000-000018000000}"/>
    <hyperlink ref="A19" location="'MH-60S Mission System Summary'!A1" display="'MH-60S Mission System Summary'!A1" xr:uid="{00000000-0004-0000-0000-000019000000}"/>
    <hyperlink ref="A20" location="'HSC MH-60S Mission Systems'!A1" display="'HSC MH-60S Mission Systems'!A1" xr:uid="{00000000-0004-0000-0000-00001A000000}"/>
    <hyperlink ref="A13" location="'HSC MH-60R TEST_FAS'!A1" display="'HSC MH-60R TEST_FAS'!A1" xr:uid="{00000000-0004-0000-0000-00001B000000}"/>
  </hyperlinks>
  <printOptions horizontalCentered="1"/>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D186"/>
  <sheetViews>
    <sheetView showGridLines="0" topLeftCell="A21" zoomScaleNormal="100" zoomScaleSheetLayoutView="100" workbookViewId="0">
      <selection activeCell="N59" sqref="A50:N59"/>
    </sheetView>
  </sheetViews>
  <sheetFormatPr defaultRowHeight="12.75" x14ac:dyDescent="0.2"/>
  <cols>
    <col min="1" max="1" width="62" style="28" bestFit="1" customWidth="1"/>
    <col min="2" max="28" width="5.7109375" style="28" customWidth="1"/>
    <col min="29" max="29" width="5.7109375" style="179" customWidth="1"/>
    <col min="30" max="30" width="7" style="28" bestFit="1" customWidth="1"/>
    <col min="31" max="32" width="5.7109375" style="28" customWidth="1"/>
    <col min="33" max="16384" width="9.140625" style="28"/>
  </cols>
  <sheetData>
    <row r="1" spans="1:30" s="1" customFormat="1" ht="18.75" x14ac:dyDescent="0.3">
      <c r="A1" s="157" t="s">
        <v>263</v>
      </c>
      <c r="B1" s="157"/>
      <c r="C1" s="157"/>
      <c r="H1" s="194" t="s">
        <v>62</v>
      </c>
      <c r="L1" s="151" t="s">
        <v>3</v>
      </c>
      <c r="M1" s="770">
        <v>44835</v>
      </c>
      <c r="N1" s="771"/>
      <c r="O1" s="772"/>
      <c r="P1" s="772"/>
      <c r="AC1" s="423" t="s">
        <v>63</v>
      </c>
      <c r="AD1" s="424">
        <v>7.08</v>
      </c>
    </row>
    <row r="2" spans="1:30" s="8" customFormat="1" ht="12" x14ac:dyDescent="0.2">
      <c r="A2" s="135" t="s">
        <v>64</v>
      </c>
      <c r="B2" s="3">
        <v>2</v>
      </c>
      <c r="C2" s="4"/>
      <c r="D2" s="4"/>
      <c r="F2" s="4"/>
      <c r="G2" s="6"/>
      <c r="H2" s="625" t="s">
        <v>1</v>
      </c>
      <c r="I2" s="195"/>
    </row>
    <row r="3" spans="1:30" s="8" customFormat="1" ht="11.25" x14ac:dyDescent="0.2">
      <c r="A3" s="135" t="s">
        <v>65</v>
      </c>
      <c r="B3" s="65">
        <f>B4/B2</f>
        <v>1.5</v>
      </c>
      <c r="C3" s="12"/>
      <c r="N3" s="11"/>
    </row>
    <row r="4" spans="1:30" s="8" customFormat="1" ht="11.25" x14ac:dyDescent="0.2">
      <c r="A4" s="135" t="s">
        <v>66</v>
      </c>
      <c r="B4" s="10">
        <v>3</v>
      </c>
      <c r="C4" s="14"/>
      <c r="D4" s="15"/>
      <c r="E4" s="15"/>
      <c r="F4" s="16"/>
      <c r="G4" s="17"/>
      <c r="H4" s="18"/>
      <c r="I4" s="195"/>
      <c r="J4" s="95"/>
      <c r="K4" s="95"/>
      <c r="L4" s="96"/>
      <c r="N4" s="11"/>
    </row>
    <row r="5" spans="1:30" s="8" customFormat="1" ht="11.25" x14ac:dyDescent="0.2">
      <c r="A5" s="135" t="s">
        <v>67</v>
      </c>
      <c r="B5" s="19">
        <v>2</v>
      </c>
      <c r="C5" s="14"/>
      <c r="D5" s="15"/>
      <c r="E5" s="15"/>
      <c r="F5" s="20"/>
      <c r="G5" s="18"/>
      <c r="H5" s="18"/>
      <c r="I5" s="195"/>
      <c r="J5" s="95"/>
      <c r="K5" s="95"/>
      <c r="L5" s="97"/>
      <c r="N5" s="11"/>
    </row>
    <row r="6" spans="1:30" s="8" customFormat="1" ht="11.25" x14ac:dyDescent="0.2">
      <c r="A6" s="136" t="s">
        <v>68</v>
      </c>
      <c r="B6" s="65">
        <v>25.8</v>
      </c>
      <c r="C6" s="21"/>
      <c r="D6" s="22"/>
      <c r="E6" s="22"/>
      <c r="F6" s="20"/>
      <c r="G6" s="18"/>
      <c r="H6" s="18"/>
      <c r="I6" s="195"/>
      <c r="J6" s="95"/>
      <c r="K6" s="95"/>
      <c r="L6" s="97"/>
      <c r="N6" s="11"/>
    </row>
    <row r="7" spans="1:30" s="8" customFormat="1" ht="11.25" x14ac:dyDescent="0.2">
      <c r="A7" s="135" t="s">
        <v>69</v>
      </c>
      <c r="B7" s="65">
        <f>B6*B4</f>
        <v>77.400000000000006</v>
      </c>
      <c r="C7" s="14"/>
      <c r="D7" s="14"/>
      <c r="E7" s="15"/>
      <c r="F7" s="20"/>
      <c r="G7" s="18"/>
      <c r="H7" s="18"/>
      <c r="I7" s="195"/>
      <c r="J7" s="95"/>
      <c r="K7" s="95"/>
      <c r="L7" s="97"/>
      <c r="N7" s="11"/>
    </row>
    <row r="8" spans="1:30" s="8" customFormat="1" ht="11.25" x14ac:dyDescent="0.2">
      <c r="A8" s="135" t="s">
        <v>70</v>
      </c>
      <c r="B8" s="65">
        <f>B7/B5</f>
        <v>38.700000000000003</v>
      </c>
      <c r="C8" s="13"/>
      <c r="D8" s="14"/>
      <c r="E8" s="14"/>
      <c r="F8" s="20"/>
      <c r="G8" s="18"/>
      <c r="H8" s="18"/>
      <c r="I8" s="195"/>
      <c r="J8" s="95"/>
      <c r="K8" s="95"/>
      <c r="L8" s="97"/>
      <c r="N8" s="11"/>
    </row>
    <row r="9" spans="1:30" s="8" customFormat="1" ht="11.25" x14ac:dyDescent="0.2">
      <c r="A9" s="135" t="s">
        <v>71</v>
      </c>
      <c r="B9" s="65">
        <f>B4*C9</f>
        <v>3</v>
      </c>
      <c r="C9" s="23">
        <v>1</v>
      </c>
      <c r="D9" s="203" t="s">
        <v>72</v>
      </c>
      <c r="E9" s="14"/>
      <c r="F9" s="20"/>
      <c r="G9" s="132" t="s">
        <v>73</v>
      </c>
      <c r="H9" s="133">
        <v>0.4</v>
      </c>
      <c r="J9" s="95"/>
      <c r="K9" s="95"/>
      <c r="L9" s="97"/>
      <c r="N9" s="11"/>
    </row>
    <row r="10" spans="1:30" s="8" customFormat="1" ht="11.25" x14ac:dyDescent="0.2">
      <c r="A10" s="135" t="s">
        <v>74</v>
      </c>
      <c r="B10" s="11">
        <f>B4*C10</f>
        <v>19.049999999999997</v>
      </c>
      <c r="C10" s="23">
        <v>6.35</v>
      </c>
      <c r="D10" s="203" t="s">
        <v>72</v>
      </c>
      <c r="E10" s="11"/>
      <c r="F10" s="20"/>
      <c r="G10" s="134" t="s">
        <v>75</v>
      </c>
      <c r="H10" s="454">
        <v>0.29699999999999999</v>
      </c>
      <c r="J10" s="95"/>
      <c r="K10" s="95"/>
      <c r="L10" s="97"/>
      <c r="N10" s="11"/>
    </row>
    <row r="11" spans="1:30" s="8" customFormat="1" ht="11.25" x14ac:dyDescent="0.2">
      <c r="A11" s="200" t="s">
        <v>76</v>
      </c>
      <c r="B11" s="201">
        <f>C11*B4</f>
        <v>3</v>
      </c>
      <c r="C11" s="202">
        <v>1</v>
      </c>
      <c r="D11" s="203" t="s">
        <v>72</v>
      </c>
      <c r="E11" s="25"/>
      <c r="F11" s="11"/>
      <c r="G11" s="11"/>
      <c r="H11" s="11"/>
      <c r="I11" s="195"/>
      <c r="J11" s="95"/>
      <c r="K11" s="95"/>
      <c r="L11" s="97"/>
      <c r="N11" s="11"/>
    </row>
    <row r="12" spans="1:30" s="8" customFormat="1" ht="11.25" x14ac:dyDescent="0.2">
      <c r="C12" s="25"/>
      <c r="D12" s="25"/>
      <c r="E12" s="25"/>
      <c r="F12" s="11"/>
      <c r="G12" s="11"/>
      <c r="H12" s="11"/>
      <c r="I12" s="195"/>
      <c r="J12" s="95"/>
      <c r="K12" s="95"/>
      <c r="L12" s="97"/>
      <c r="N12" s="11"/>
    </row>
    <row r="13" spans="1:30" s="26" customFormat="1" ht="59.25" x14ac:dyDescent="0.2">
      <c r="A13" s="66" t="s">
        <v>77</v>
      </c>
      <c r="B13" s="67" t="s">
        <v>78</v>
      </c>
      <c r="C13" s="67" t="s">
        <v>78</v>
      </c>
      <c r="D13" s="67" t="s">
        <v>79</v>
      </c>
      <c r="E13" s="67" t="s">
        <v>79</v>
      </c>
      <c r="F13" s="67" t="s">
        <v>79</v>
      </c>
      <c r="G13" s="67" t="s">
        <v>79</v>
      </c>
      <c r="H13" s="67" t="s">
        <v>83</v>
      </c>
      <c r="I13" s="67" t="s">
        <v>83</v>
      </c>
      <c r="J13" s="67" t="s">
        <v>83</v>
      </c>
      <c r="K13" s="67" t="s">
        <v>83</v>
      </c>
      <c r="L13" s="67" t="s">
        <v>83</v>
      </c>
      <c r="M13" s="67" t="s">
        <v>83</v>
      </c>
      <c r="N13" s="142" t="s">
        <v>84</v>
      </c>
    </row>
    <row r="14" spans="1:30" s="27" customFormat="1" ht="12" x14ac:dyDescent="0.2">
      <c r="A14" s="66" t="s">
        <v>85</v>
      </c>
      <c r="B14" s="125" t="s">
        <v>86</v>
      </c>
      <c r="C14" s="125" t="s">
        <v>87</v>
      </c>
      <c r="D14" s="125" t="s">
        <v>88</v>
      </c>
      <c r="E14" s="125" t="s">
        <v>89</v>
      </c>
      <c r="F14" s="125" t="s">
        <v>235</v>
      </c>
      <c r="G14" s="125" t="s">
        <v>101</v>
      </c>
      <c r="H14" s="125" t="s">
        <v>102</v>
      </c>
      <c r="I14" s="125" t="s">
        <v>103</v>
      </c>
      <c r="J14" s="125" t="s">
        <v>104</v>
      </c>
      <c r="K14" s="125" t="s">
        <v>105</v>
      </c>
      <c r="L14" s="125" t="s">
        <v>106</v>
      </c>
      <c r="M14" s="125" t="s">
        <v>107</v>
      </c>
      <c r="N14" s="143" t="s">
        <v>113</v>
      </c>
    </row>
    <row r="15" spans="1:30" s="27" customFormat="1" ht="12" x14ac:dyDescent="0.2">
      <c r="A15" s="66" t="s">
        <v>114</v>
      </c>
      <c r="B15" s="125">
        <v>1</v>
      </c>
      <c r="C15" s="125">
        <v>2</v>
      </c>
      <c r="D15" s="125">
        <v>3</v>
      </c>
      <c r="E15" s="125">
        <v>4</v>
      </c>
      <c r="F15" s="125">
        <v>5</v>
      </c>
      <c r="G15" s="125">
        <v>6</v>
      </c>
      <c r="H15" s="125">
        <v>7</v>
      </c>
      <c r="I15" s="125">
        <v>8</v>
      </c>
      <c r="J15" s="125">
        <v>9</v>
      </c>
      <c r="K15" s="125">
        <v>10</v>
      </c>
      <c r="L15" s="125">
        <v>11</v>
      </c>
      <c r="M15" s="125">
        <v>12</v>
      </c>
      <c r="N15" s="143">
        <v>28</v>
      </c>
    </row>
    <row r="16" spans="1:30" ht="12" x14ac:dyDescent="0.2">
      <c r="A16" s="66" t="s">
        <v>115</v>
      </c>
      <c r="B16" s="794" t="s">
        <v>264</v>
      </c>
      <c r="C16" s="795"/>
      <c r="D16" s="794" t="s">
        <v>242</v>
      </c>
      <c r="E16" s="796"/>
      <c r="F16" s="796"/>
      <c r="G16" s="795"/>
      <c r="H16" s="794" t="s">
        <v>83</v>
      </c>
      <c r="I16" s="796"/>
      <c r="J16" s="796"/>
      <c r="K16" s="796"/>
      <c r="L16" s="796"/>
      <c r="M16" s="795"/>
      <c r="N16" s="156" t="s">
        <v>121</v>
      </c>
      <c r="AC16" s="28"/>
    </row>
    <row r="17" spans="1:29" x14ac:dyDescent="0.2">
      <c r="A17" s="155" t="s">
        <v>122</v>
      </c>
      <c r="B17" s="110"/>
      <c r="C17" s="31"/>
      <c r="D17" s="31"/>
      <c r="E17" s="30"/>
      <c r="F17" s="30"/>
      <c r="G17" s="30"/>
      <c r="H17" s="30"/>
      <c r="I17" s="30"/>
      <c r="J17" s="30"/>
      <c r="K17" s="30"/>
      <c r="L17" s="30"/>
      <c r="M17" s="87"/>
      <c r="N17" s="175"/>
      <c r="AC17" s="28"/>
    </row>
    <row r="18" spans="1:29" ht="12" x14ac:dyDescent="0.2">
      <c r="A18" s="178" t="s">
        <v>123</v>
      </c>
      <c r="B18" s="177">
        <f>IF(B101&lt;80,B102,MIN(B101,80))</f>
        <v>0</v>
      </c>
      <c r="C18" s="177">
        <f t="shared" ref="C18:N18" si="0">IF(C101&lt;80,C102,MIN(C101,80))</f>
        <v>0</v>
      </c>
      <c r="D18" s="177">
        <f t="shared" si="0"/>
        <v>1.3800808570797258</v>
      </c>
      <c r="E18" s="177">
        <f t="shared" si="0"/>
        <v>41.380080857079726</v>
      </c>
      <c r="F18" s="177">
        <f t="shared" si="0"/>
        <v>80</v>
      </c>
      <c r="G18" s="177">
        <f t="shared" si="0"/>
        <v>80</v>
      </c>
      <c r="H18" s="177">
        <f t="shared" si="0"/>
        <v>80</v>
      </c>
      <c r="I18" s="177">
        <f t="shared" si="0"/>
        <v>80</v>
      </c>
      <c r="J18" s="177">
        <f t="shared" si="0"/>
        <v>80</v>
      </c>
      <c r="K18" s="177">
        <f t="shared" si="0"/>
        <v>80</v>
      </c>
      <c r="L18" s="177">
        <f t="shared" si="0"/>
        <v>80</v>
      </c>
      <c r="M18" s="177">
        <f t="shared" si="0"/>
        <v>80</v>
      </c>
      <c r="N18" s="177">
        <f t="shared" si="0"/>
        <v>11.380080857079726</v>
      </c>
      <c r="AC18" s="28"/>
    </row>
    <row r="19" spans="1:29" ht="12" x14ac:dyDescent="0.2">
      <c r="A19" s="34" t="s">
        <v>124</v>
      </c>
      <c r="B19" s="71">
        <v>0.5</v>
      </c>
      <c r="C19" s="71">
        <v>0.5</v>
      </c>
      <c r="D19" s="71">
        <v>0.7</v>
      </c>
      <c r="E19" s="71">
        <v>0.7</v>
      </c>
      <c r="F19" s="71">
        <v>0.7</v>
      </c>
      <c r="G19" s="71">
        <v>0.4</v>
      </c>
      <c r="H19" s="71">
        <v>0.7</v>
      </c>
      <c r="I19" s="71">
        <v>0.7</v>
      </c>
      <c r="J19" s="71">
        <v>0.7</v>
      </c>
      <c r="K19" s="71">
        <v>0.7</v>
      </c>
      <c r="L19" s="71">
        <v>0.7</v>
      </c>
      <c r="M19" s="71">
        <v>0.7</v>
      </c>
      <c r="N19" s="35">
        <v>0.4</v>
      </c>
      <c r="AC19" s="28"/>
    </row>
    <row r="20" spans="1:29" ht="12" x14ac:dyDescent="0.2">
      <c r="A20" s="204" t="s">
        <v>125</v>
      </c>
      <c r="B20" s="147"/>
      <c r="C20" s="211"/>
      <c r="D20" s="211"/>
      <c r="E20" s="211"/>
      <c r="F20" s="211"/>
      <c r="G20" s="211"/>
      <c r="H20" s="211"/>
      <c r="I20" s="211"/>
      <c r="J20" s="211"/>
      <c r="K20" s="211"/>
      <c r="L20" s="211"/>
      <c r="M20" s="208"/>
      <c r="N20" s="208"/>
      <c r="AC20" s="28"/>
    </row>
    <row r="21" spans="1:29" s="38" customFormat="1" ht="12" x14ac:dyDescent="0.2">
      <c r="A21" s="205" t="s">
        <v>126</v>
      </c>
      <c r="B21" s="209">
        <f t="shared" ref="B21:M21" si="1">B19*$B$8</f>
        <v>19.350000000000001</v>
      </c>
      <c r="C21" s="209">
        <f t="shared" si="1"/>
        <v>19.350000000000001</v>
      </c>
      <c r="D21" s="209">
        <f t="shared" si="1"/>
        <v>27.09</v>
      </c>
      <c r="E21" s="209">
        <f t="shared" si="1"/>
        <v>27.09</v>
      </c>
      <c r="F21" s="209">
        <f t="shared" si="1"/>
        <v>27.09</v>
      </c>
      <c r="G21" s="209">
        <f t="shared" si="1"/>
        <v>15.480000000000002</v>
      </c>
      <c r="H21" s="209">
        <f t="shared" si="1"/>
        <v>27.09</v>
      </c>
      <c r="I21" s="209">
        <f t="shared" si="1"/>
        <v>27.09</v>
      </c>
      <c r="J21" s="209">
        <f t="shared" si="1"/>
        <v>27.09</v>
      </c>
      <c r="K21" s="209">
        <f t="shared" si="1"/>
        <v>27.09</v>
      </c>
      <c r="L21" s="209">
        <f t="shared" si="1"/>
        <v>27.09</v>
      </c>
      <c r="M21" s="209">
        <f t="shared" si="1"/>
        <v>27.09</v>
      </c>
      <c r="N21" s="137">
        <f t="shared" ref="N21" si="2">N19*$B$8</f>
        <v>15.480000000000002</v>
      </c>
    </row>
    <row r="22" spans="1:29" s="40" customFormat="1" ht="12" x14ac:dyDescent="0.2">
      <c r="A22" s="205" t="s">
        <v>127</v>
      </c>
      <c r="B22" s="37">
        <f t="shared" ref="B22:M22" si="3">B21*$B$5</f>
        <v>38.700000000000003</v>
      </c>
      <c r="C22" s="37">
        <f t="shared" si="3"/>
        <v>38.700000000000003</v>
      </c>
      <c r="D22" s="37">
        <f t="shared" si="3"/>
        <v>54.18</v>
      </c>
      <c r="E22" s="37">
        <f t="shared" si="3"/>
        <v>54.18</v>
      </c>
      <c r="F22" s="37">
        <f t="shared" si="3"/>
        <v>54.18</v>
      </c>
      <c r="G22" s="37">
        <f t="shared" si="3"/>
        <v>30.960000000000004</v>
      </c>
      <c r="H22" s="37">
        <f t="shared" si="3"/>
        <v>54.18</v>
      </c>
      <c r="I22" s="37">
        <f t="shared" si="3"/>
        <v>54.18</v>
      </c>
      <c r="J22" s="37">
        <f t="shared" si="3"/>
        <v>54.18</v>
      </c>
      <c r="K22" s="37">
        <f t="shared" si="3"/>
        <v>54.18</v>
      </c>
      <c r="L22" s="37">
        <f t="shared" si="3"/>
        <v>54.18</v>
      </c>
      <c r="M22" s="37">
        <f t="shared" si="3"/>
        <v>54.18</v>
      </c>
      <c r="N22" s="37">
        <f t="shared" ref="N22" si="4">N21*$B$5</f>
        <v>30.960000000000004</v>
      </c>
    </row>
    <row r="23" spans="1:29" s="40" customFormat="1" ht="12" x14ac:dyDescent="0.2">
      <c r="A23" s="205" t="s">
        <v>128</v>
      </c>
      <c r="B23" s="139">
        <f>$B$9</f>
        <v>3</v>
      </c>
      <c r="C23" s="139">
        <f t="shared" ref="C23:M23" si="5">$B$9</f>
        <v>3</v>
      </c>
      <c r="D23" s="139">
        <f t="shared" si="5"/>
        <v>3</v>
      </c>
      <c r="E23" s="139">
        <f t="shared" si="5"/>
        <v>3</v>
      </c>
      <c r="F23" s="139">
        <f t="shared" si="5"/>
        <v>3</v>
      </c>
      <c r="G23" s="139">
        <f t="shared" si="5"/>
        <v>3</v>
      </c>
      <c r="H23" s="139">
        <f t="shared" si="5"/>
        <v>3</v>
      </c>
      <c r="I23" s="139">
        <f t="shared" si="5"/>
        <v>3</v>
      </c>
      <c r="J23" s="139">
        <f t="shared" si="5"/>
        <v>3</v>
      </c>
      <c r="K23" s="139">
        <f t="shared" si="5"/>
        <v>3</v>
      </c>
      <c r="L23" s="139">
        <f t="shared" si="5"/>
        <v>3</v>
      </c>
      <c r="M23" s="139">
        <f t="shared" si="5"/>
        <v>3</v>
      </c>
      <c r="N23" s="139">
        <f t="shared" ref="N23" si="6">$B$9</f>
        <v>3</v>
      </c>
    </row>
    <row r="24" spans="1:29" s="40" customFormat="1" ht="12" x14ac:dyDescent="0.2">
      <c r="A24" s="205" t="s">
        <v>129</v>
      </c>
      <c r="B24" s="139">
        <f t="shared" ref="B24:M24" si="7">IF(ISBLANK(B145),0,$B$10)</f>
        <v>0</v>
      </c>
      <c r="C24" s="139">
        <f t="shared" si="7"/>
        <v>0</v>
      </c>
      <c r="D24" s="139">
        <f t="shared" si="7"/>
        <v>0</v>
      </c>
      <c r="E24" s="139">
        <f t="shared" si="7"/>
        <v>0</v>
      </c>
      <c r="F24" s="139">
        <f t="shared" si="7"/>
        <v>0</v>
      </c>
      <c r="G24" s="139">
        <f t="shared" si="7"/>
        <v>19.049999999999997</v>
      </c>
      <c r="H24" s="139">
        <f t="shared" si="7"/>
        <v>19.049999999999997</v>
      </c>
      <c r="I24" s="139">
        <f t="shared" si="7"/>
        <v>19.049999999999997</v>
      </c>
      <c r="J24" s="139">
        <f t="shared" si="7"/>
        <v>19.049999999999997</v>
      </c>
      <c r="K24" s="139">
        <f t="shared" si="7"/>
        <v>19.049999999999997</v>
      </c>
      <c r="L24" s="139">
        <f t="shared" si="7"/>
        <v>19.049999999999997</v>
      </c>
      <c r="M24" s="139">
        <f t="shared" si="7"/>
        <v>19.049999999999997</v>
      </c>
      <c r="N24" s="139">
        <f>IF(ISBLANK(N116),0,$B$10)</f>
        <v>0</v>
      </c>
    </row>
    <row r="25" spans="1:29" s="40" customFormat="1" ht="12" x14ac:dyDescent="0.2">
      <c r="A25" s="205" t="s">
        <v>130</v>
      </c>
      <c r="B25" s="37">
        <f>B21*$B$5+SUM(B23:B24)</f>
        <v>41.7</v>
      </c>
      <c r="C25" s="37">
        <f t="shared" ref="C25:M25" si="8">C21*$B$5+SUM(C23:C24)</f>
        <v>41.7</v>
      </c>
      <c r="D25" s="37">
        <f t="shared" si="8"/>
        <v>57.18</v>
      </c>
      <c r="E25" s="37">
        <f t="shared" si="8"/>
        <v>57.18</v>
      </c>
      <c r="F25" s="37">
        <f t="shared" si="8"/>
        <v>57.18</v>
      </c>
      <c r="G25" s="37">
        <f t="shared" si="8"/>
        <v>53.010000000000005</v>
      </c>
      <c r="H25" s="37">
        <f t="shared" si="8"/>
        <v>76.22999999999999</v>
      </c>
      <c r="I25" s="37">
        <f t="shared" si="8"/>
        <v>76.22999999999999</v>
      </c>
      <c r="J25" s="37">
        <f t="shared" si="8"/>
        <v>76.22999999999999</v>
      </c>
      <c r="K25" s="37">
        <f t="shared" si="8"/>
        <v>76.22999999999999</v>
      </c>
      <c r="L25" s="37">
        <f t="shared" si="8"/>
        <v>76.22999999999999</v>
      </c>
      <c r="M25" s="37">
        <f t="shared" si="8"/>
        <v>76.22999999999999</v>
      </c>
      <c r="N25" s="37">
        <f t="shared" ref="N25" si="9">N21*$B$5+SUM(N23:N24)</f>
        <v>33.960000000000008</v>
      </c>
    </row>
    <row r="26" spans="1:29" s="40" customFormat="1" ht="12" x14ac:dyDescent="0.2">
      <c r="A26" s="206" t="s">
        <v>131</v>
      </c>
      <c r="B26" s="39">
        <f t="shared" ref="B26:M26" si="10">-IF(ISBLANK(B144),0,MIN(B$22*$H$10,B$22-$B$7*$H$9))</f>
        <v>-7.7399999999999984</v>
      </c>
      <c r="C26" s="39">
        <f t="shared" si="10"/>
        <v>-7.7399999999999984</v>
      </c>
      <c r="D26" s="39">
        <f t="shared" si="10"/>
        <v>-16.091459999999998</v>
      </c>
      <c r="E26" s="39">
        <f t="shared" si="10"/>
        <v>-16.091459999999998</v>
      </c>
      <c r="F26" s="39">
        <f t="shared" si="10"/>
        <v>-16.091459999999998</v>
      </c>
      <c r="G26" s="39">
        <f t="shared" si="10"/>
        <v>0</v>
      </c>
      <c r="H26" s="39">
        <f t="shared" si="10"/>
        <v>0</v>
      </c>
      <c r="I26" s="39">
        <f t="shared" si="10"/>
        <v>0</v>
      </c>
      <c r="J26" s="39">
        <f t="shared" si="10"/>
        <v>0</v>
      </c>
      <c r="K26" s="39">
        <f t="shared" si="10"/>
        <v>0</v>
      </c>
      <c r="L26" s="39">
        <f t="shared" si="10"/>
        <v>0</v>
      </c>
      <c r="M26" s="39">
        <f t="shared" si="10"/>
        <v>0</v>
      </c>
      <c r="N26" s="39">
        <f>-IF(ISBLANK(N115),0,MIN(N$22*$H$10,N$22-$B$7*$H$9))</f>
        <v>0</v>
      </c>
    </row>
    <row r="27" spans="1:29" s="40" customFormat="1" ht="12" x14ac:dyDescent="0.2">
      <c r="A27" s="205" t="s">
        <v>132</v>
      </c>
      <c r="B27" s="39">
        <f t="shared" ref="B27:M27" si="11">SUM(B25:B26)</f>
        <v>33.960000000000008</v>
      </c>
      <c r="C27" s="39">
        <f t="shared" si="11"/>
        <v>33.960000000000008</v>
      </c>
      <c r="D27" s="39">
        <f t="shared" si="11"/>
        <v>41.088540000000002</v>
      </c>
      <c r="E27" s="39">
        <f t="shared" si="11"/>
        <v>41.088540000000002</v>
      </c>
      <c r="F27" s="39">
        <f t="shared" si="11"/>
        <v>41.088540000000002</v>
      </c>
      <c r="G27" s="39">
        <f t="shared" si="11"/>
        <v>53.010000000000005</v>
      </c>
      <c r="H27" s="39">
        <f t="shared" si="11"/>
        <v>76.22999999999999</v>
      </c>
      <c r="I27" s="39">
        <f t="shared" si="11"/>
        <v>76.22999999999999</v>
      </c>
      <c r="J27" s="39">
        <f t="shared" si="11"/>
        <v>76.22999999999999</v>
      </c>
      <c r="K27" s="39">
        <f t="shared" si="11"/>
        <v>76.22999999999999</v>
      </c>
      <c r="L27" s="39">
        <f t="shared" si="11"/>
        <v>76.22999999999999</v>
      </c>
      <c r="M27" s="39">
        <f t="shared" si="11"/>
        <v>76.22999999999999</v>
      </c>
      <c r="N27" s="39">
        <f t="shared" ref="N27" si="12">SUM(N25:N26)</f>
        <v>33.960000000000008</v>
      </c>
    </row>
    <row r="28" spans="1:29" s="40" customFormat="1" ht="12" x14ac:dyDescent="0.2">
      <c r="A28" s="206" t="s">
        <v>133</v>
      </c>
      <c r="B28" s="41">
        <f>AVERAGE(L22:M22,B22)</f>
        <v>49.02</v>
      </c>
      <c r="C28" s="41">
        <f>AVERAGE(B22:C22,M22)</f>
        <v>43.860000000000007</v>
      </c>
      <c r="D28" s="41">
        <f t="shared" ref="D28:M28" si="13">AVERAGE(B22:D22)</f>
        <v>43.860000000000007</v>
      </c>
      <c r="E28" s="41">
        <f t="shared" si="13"/>
        <v>49.02</v>
      </c>
      <c r="F28" s="41">
        <f t="shared" si="13"/>
        <v>54.18</v>
      </c>
      <c r="G28" s="41">
        <f t="shared" si="13"/>
        <v>46.44</v>
      </c>
      <c r="H28" s="41">
        <f t="shared" si="13"/>
        <v>46.44</v>
      </c>
      <c r="I28" s="41">
        <f t="shared" si="13"/>
        <v>46.44</v>
      </c>
      <c r="J28" s="41">
        <f t="shared" si="13"/>
        <v>54.18</v>
      </c>
      <c r="K28" s="41">
        <f t="shared" si="13"/>
        <v>54.18</v>
      </c>
      <c r="L28" s="41">
        <f t="shared" si="13"/>
        <v>54.18</v>
      </c>
      <c r="M28" s="41">
        <f t="shared" si="13"/>
        <v>54.18</v>
      </c>
      <c r="N28" s="37">
        <f>N27</f>
        <v>33.960000000000008</v>
      </c>
    </row>
    <row r="29" spans="1:29" s="40" customFormat="1" ht="12" x14ac:dyDescent="0.2">
      <c r="A29" s="207" t="s">
        <v>134</v>
      </c>
      <c r="B29" s="138"/>
      <c r="C29" s="212"/>
      <c r="D29" s="212"/>
      <c r="E29" s="212"/>
      <c r="F29" s="212"/>
      <c r="G29" s="212"/>
      <c r="H29" s="212"/>
      <c r="I29" s="212"/>
      <c r="J29" s="212"/>
      <c r="K29" s="212"/>
      <c r="L29" s="212"/>
      <c r="M29" s="213"/>
      <c r="N29" s="37"/>
    </row>
    <row r="30" spans="1:29" s="40" customFormat="1" ht="12" x14ac:dyDescent="0.2">
      <c r="A30" s="206" t="s">
        <v>135</v>
      </c>
      <c r="B30" s="41">
        <f t="shared" ref="B30:N30" si="14">IF(ISBLANK(B144),0,$B$11)</f>
        <v>3</v>
      </c>
      <c r="C30" s="41">
        <f t="shared" si="14"/>
        <v>3</v>
      </c>
      <c r="D30" s="41">
        <f t="shared" si="14"/>
        <v>3</v>
      </c>
      <c r="E30" s="41">
        <f t="shared" si="14"/>
        <v>3</v>
      </c>
      <c r="F30" s="41">
        <f t="shared" si="14"/>
        <v>3</v>
      </c>
      <c r="G30" s="41">
        <f t="shared" si="14"/>
        <v>0</v>
      </c>
      <c r="H30" s="41">
        <f t="shared" si="14"/>
        <v>0</v>
      </c>
      <c r="I30" s="41">
        <f t="shared" si="14"/>
        <v>0</v>
      </c>
      <c r="J30" s="41">
        <f t="shared" si="14"/>
        <v>0</v>
      </c>
      <c r="K30" s="41">
        <f t="shared" si="14"/>
        <v>0</v>
      </c>
      <c r="L30" s="41">
        <f t="shared" si="14"/>
        <v>0</v>
      </c>
      <c r="M30" s="41">
        <f t="shared" si="14"/>
        <v>0</v>
      </c>
      <c r="N30" s="41">
        <f t="shared" si="14"/>
        <v>3</v>
      </c>
    </row>
    <row r="31" spans="1:29" s="40" customFormat="1" x14ac:dyDescent="0.2">
      <c r="A31" s="155" t="s">
        <v>136</v>
      </c>
      <c r="B31" s="114"/>
      <c r="C31" s="42"/>
      <c r="D31" s="42"/>
      <c r="E31" s="115"/>
      <c r="F31" s="115"/>
      <c r="G31" s="115"/>
      <c r="H31" s="115"/>
      <c r="I31" s="115"/>
      <c r="J31" s="115"/>
      <c r="K31" s="115"/>
      <c r="L31" s="115"/>
      <c r="M31" s="116"/>
      <c r="N31" s="176"/>
    </row>
    <row r="32" spans="1:29" s="40" customFormat="1" ht="12" x14ac:dyDescent="0.2">
      <c r="A32" s="333" t="s">
        <v>137</v>
      </c>
      <c r="B32" s="35">
        <v>0.7</v>
      </c>
      <c r="C32" s="35">
        <v>0.7</v>
      </c>
      <c r="D32" s="35">
        <v>0.8</v>
      </c>
      <c r="E32" s="35">
        <v>0.8</v>
      </c>
      <c r="F32" s="35">
        <v>0.8</v>
      </c>
      <c r="G32" s="35">
        <v>0.8</v>
      </c>
      <c r="H32" s="35">
        <v>1</v>
      </c>
      <c r="I32" s="35">
        <v>1</v>
      </c>
      <c r="J32" s="35">
        <v>1</v>
      </c>
      <c r="K32" s="35">
        <v>1</v>
      </c>
      <c r="L32" s="35">
        <v>1</v>
      </c>
      <c r="M32" s="35">
        <v>1</v>
      </c>
      <c r="N32" s="35">
        <v>0.7</v>
      </c>
    </row>
    <row r="33" spans="1:29" s="40" customFormat="1" ht="12" x14ac:dyDescent="0.2">
      <c r="A33" s="333" t="s">
        <v>138</v>
      </c>
      <c r="B33" s="43">
        <f>0.8*B32</f>
        <v>0.55999999999999994</v>
      </c>
      <c r="C33" s="43">
        <f t="shared" ref="C33:N33" si="15">0.8*C32</f>
        <v>0.55999999999999994</v>
      </c>
      <c r="D33" s="43">
        <f t="shared" si="15"/>
        <v>0.64000000000000012</v>
      </c>
      <c r="E33" s="43">
        <f t="shared" si="15"/>
        <v>0.64000000000000012</v>
      </c>
      <c r="F33" s="43">
        <f t="shared" si="15"/>
        <v>0.64000000000000012</v>
      </c>
      <c r="G33" s="43">
        <f t="shared" si="15"/>
        <v>0.64000000000000012</v>
      </c>
      <c r="H33" s="43">
        <f t="shared" si="15"/>
        <v>0.8</v>
      </c>
      <c r="I33" s="43">
        <f t="shared" si="15"/>
        <v>0.8</v>
      </c>
      <c r="J33" s="43">
        <f t="shared" si="15"/>
        <v>0.8</v>
      </c>
      <c r="K33" s="43">
        <f t="shared" si="15"/>
        <v>0.8</v>
      </c>
      <c r="L33" s="43">
        <f t="shared" si="15"/>
        <v>0.8</v>
      </c>
      <c r="M33" s="43">
        <f t="shared" si="15"/>
        <v>0.8</v>
      </c>
      <c r="N33" s="43">
        <f t="shared" si="15"/>
        <v>0.55999999999999994</v>
      </c>
    </row>
    <row r="34" spans="1:29" s="40" customFormat="1" ht="12" x14ac:dyDescent="0.2">
      <c r="A34" s="333" t="s">
        <v>139</v>
      </c>
      <c r="B34" s="43">
        <f>((B36*$B$176)/$B$2)</f>
        <v>0.34454159117114158</v>
      </c>
      <c r="C34" s="43">
        <f t="shared" ref="C34:N34" si="16">((C36*$B$176)/$B$2)</f>
        <v>0.34454159117114158</v>
      </c>
      <c r="D34" s="43">
        <f t="shared" si="16"/>
        <v>0.39376181848130465</v>
      </c>
      <c r="E34" s="43">
        <f t="shared" si="16"/>
        <v>0.39376181848130465</v>
      </c>
      <c r="F34" s="43">
        <f t="shared" si="16"/>
        <v>0.39376181848130465</v>
      </c>
      <c r="G34" s="43">
        <f t="shared" si="16"/>
        <v>0.39376181848130465</v>
      </c>
      <c r="H34" s="43">
        <f t="shared" si="16"/>
        <v>0.49220227310163084</v>
      </c>
      <c r="I34" s="43">
        <f t="shared" si="16"/>
        <v>0.49220227310163084</v>
      </c>
      <c r="J34" s="43">
        <f t="shared" si="16"/>
        <v>0.49220227310163084</v>
      </c>
      <c r="K34" s="43">
        <f t="shared" si="16"/>
        <v>0.49220227310163084</v>
      </c>
      <c r="L34" s="43">
        <f t="shared" si="16"/>
        <v>0.49220227310163084</v>
      </c>
      <c r="M34" s="43">
        <f t="shared" si="16"/>
        <v>0.49220227310163084</v>
      </c>
      <c r="N34" s="43">
        <f t="shared" si="16"/>
        <v>0.34454159117114158</v>
      </c>
    </row>
    <row r="35" spans="1:29" s="40" customFormat="1" ht="12" x14ac:dyDescent="0.2">
      <c r="A35" s="205" t="s">
        <v>140</v>
      </c>
      <c r="B35" s="45">
        <f t="shared" ref="B35:N35" si="17">ROUND($B$2*B$32,2)</f>
        <v>1.4</v>
      </c>
      <c r="C35" s="45">
        <f t="shared" si="17"/>
        <v>1.4</v>
      </c>
      <c r="D35" s="45">
        <f t="shared" si="17"/>
        <v>1.6</v>
      </c>
      <c r="E35" s="45">
        <f t="shared" si="17"/>
        <v>1.6</v>
      </c>
      <c r="F35" s="45">
        <f t="shared" si="17"/>
        <v>1.6</v>
      </c>
      <c r="G35" s="45">
        <f t="shared" si="17"/>
        <v>1.6</v>
      </c>
      <c r="H35" s="45">
        <f t="shared" si="17"/>
        <v>2</v>
      </c>
      <c r="I35" s="45">
        <f t="shared" si="17"/>
        <v>2</v>
      </c>
      <c r="J35" s="45">
        <f t="shared" si="17"/>
        <v>2</v>
      </c>
      <c r="K35" s="45">
        <f t="shared" si="17"/>
        <v>2</v>
      </c>
      <c r="L35" s="45">
        <f t="shared" si="17"/>
        <v>2</v>
      </c>
      <c r="M35" s="45">
        <f t="shared" si="17"/>
        <v>2</v>
      </c>
      <c r="N35" s="144">
        <f t="shared" si="17"/>
        <v>1.4</v>
      </c>
    </row>
    <row r="36" spans="1:29" ht="12" x14ac:dyDescent="0.2">
      <c r="A36" s="205" t="s">
        <v>141</v>
      </c>
      <c r="B36" s="165">
        <f t="shared" ref="B36:M36" si="18">ROUND( $B$2*B$33,2)</f>
        <v>1.1200000000000001</v>
      </c>
      <c r="C36" s="165">
        <f t="shared" si="18"/>
        <v>1.1200000000000001</v>
      </c>
      <c r="D36" s="165">
        <f t="shared" si="18"/>
        <v>1.28</v>
      </c>
      <c r="E36" s="165">
        <f t="shared" si="18"/>
        <v>1.28</v>
      </c>
      <c r="F36" s="165">
        <f t="shared" si="18"/>
        <v>1.28</v>
      </c>
      <c r="G36" s="165">
        <f t="shared" si="18"/>
        <v>1.28</v>
      </c>
      <c r="H36" s="165">
        <f t="shared" si="18"/>
        <v>1.6</v>
      </c>
      <c r="I36" s="165">
        <f t="shared" si="18"/>
        <v>1.6</v>
      </c>
      <c r="J36" s="165">
        <f t="shared" si="18"/>
        <v>1.6</v>
      </c>
      <c r="K36" s="165">
        <f t="shared" si="18"/>
        <v>1.6</v>
      </c>
      <c r="L36" s="165">
        <f t="shared" si="18"/>
        <v>1.6</v>
      </c>
      <c r="M36" s="165">
        <f t="shared" si="18"/>
        <v>1.6</v>
      </c>
      <c r="N36" s="144">
        <f>ROUND($B$2*N$33,2)</f>
        <v>1.1200000000000001</v>
      </c>
      <c r="AC36" s="28"/>
    </row>
    <row r="37" spans="1:29" ht="12" x14ac:dyDescent="0.2">
      <c r="A37" s="620" t="s">
        <v>142</v>
      </c>
      <c r="B37" s="671">
        <f>B34*$B$2</f>
        <v>0.68908318234228316</v>
      </c>
      <c r="C37" s="671">
        <f t="shared" ref="C37:N37" si="19">C34*$B$2</f>
        <v>0.68908318234228316</v>
      </c>
      <c r="D37" s="671">
        <f t="shared" si="19"/>
        <v>0.7875236369626093</v>
      </c>
      <c r="E37" s="671">
        <f t="shared" si="19"/>
        <v>0.7875236369626093</v>
      </c>
      <c r="F37" s="671">
        <f t="shared" si="19"/>
        <v>0.7875236369626093</v>
      </c>
      <c r="G37" s="671">
        <f t="shared" si="19"/>
        <v>0.7875236369626093</v>
      </c>
      <c r="H37" s="671">
        <f t="shared" si="19"/>
        <v>0.98440454620326168</v>
      </c>
      <c r="I37" s="671">
        <f t="shared" si="19"/>
        <v>0.98440454620326168</v>
      </c>
      <c r="J37" s="671">
        <f t="shared" si="19"/>
        <v>0.98440454620326168</v>
      </c>
      <c r="K37" s="671">
        <f t="shared" si="19"/>
        <v>0.98440454620326168</v>
      </c>
      <c r="L37" s="671">
        <f t="shared" si="19"/>
        <v>0.98440454620326168</v>
      </c>
      <c r="M37" s="671">
        <f t="shared" si="19"/>
        <v>0.98440454620326168</v>
      </c>
      <c r="N37" s="671">
        <f t="shared" si="19"/>
        <v>0.68908318234228316</v>
      </c>
      <c r="AC37" s="28"/>
    </row>
    <row r="38" spans="1:29" x14ac:dyDescent="0.2">
      <c r="A38" s="155" t="s">
        <v>143</v>
      </c>
      <c r="B38" s="166"/>
      <c r="C38" s="50"/>
      <c r="D38" s="50"/>
      <c r="E38" s="50"/>
      <c r="F38" s="50"/>
      <c r="G38" s="50"/>
      <c r="H38" s="50"/>
      <c r="I38" s="50"/>
      <c r="J38" s="50"/>
      <c r="K38" s="50"/>
      <c r="L38" s="50"/>
      <c r="M38" s="50"/>
      <c r="N38" s="311"/>
      <c r="AC38" s="28"/>
    </row>
    <row r="39" spans="1:29" ht="12" x14ac:dyDescent="0.2">
      <c r="A39" s="292" t="s">
        <v>144</v>
      </c>
      <c r="B39" s="633">
        <f>B$36*$B177</f>
        <v>0.34782539943996044</v>
      </c>
      <c r="C39" s="633">
        <f t="shared" ref="C39:N48" si="20">C$36*$B177</f>
        <v>0.34782539943996044</v>
      </c>
      <c r="D39" s="633">
        <f t="shared" si="20"/>
        <v>0.39751474221709765</v>
      </c>
      <c r="E39" s="633">
        <f t="shared" si="20"/>
        <v>0.39751474221709765</v>
      </c>
      <c r="F39" s="633">
        <f t="shared" si="20"/>
        <v>0.39751474221709765</v>
      </c>
      <c r="G39" s="633">
        <f t="shared" si="20"/>
        <v>0.39751474221709765</v>
      </c>
      <c r="H39" s="633">
        <f t="shared" si="20"/>
        <v>0.49689342777137208</v>
      </c>
      <c r="I39" s="633">
        <f t="shared" si="20"/>
        <v>0.49689342777137208</v>
      </c>
      <c r="J39" s="633">
        <f t="shared" si="20"/>
        <v>0.49689342777137208</v>
      </c>
      <c r="K39" s="633">
        <f t="shared" si="20"/>
        <v>0.49689342777137208</v>
      </c>
      <c r="L39" s="633">
        <f t="shared" si="20"/>
        <v>0.49689342777137208</v>
      </c>
      <c r="M39" s="633">
        <f t="shared" si="20"/>
        <v>0.49689342777137208</v>
      </c>
      <c r="N39" s="633">
        <f t="shared" si="20"/>
        <v>0.34782539943996044</v>
      </c>
      <c r="AC39" s="28"/>
    </row>
    <row r="40" spans="1:29" ht="12" x14ac:dyDescent="0.2">
      <c r="A40" s="292" t="s">
        <v>145</v>
      </c>
      <c r="B40" s="633">
        <f t="shared" ref="B40:N48" si="21">B$36*$B178</f>
        <v>0</v>
      </c>
      <c r="C40" s="633">
        <f t="shared" si="21"/>
        <v>0</v>
      </c>
      <c r="D40" s="633">
        <f t="shared" si="21"/>
        <v>0</v>
      </c>
      <c r="E40" s="633">
        <f t="shared" si="21"/>
        <v>0</v>
      </c>
      <c r="F40" s="633">
        <f t="shared" si="21"/>
        <v>0</v>
      </c>
      <c r="G40" s="633">
        <f t="shared" si="21"/>
        <v>0</v>
      </c>
      <c r="H40" s="633">
        <f t="shared" si="21"/>
        <v>0</v>
      </c>
      <c r="I40" s="633">
        <f t="shared" si="21"/>
        <v>0</v>
      </c>
      <c r="J40" s="633">
        <f t="shared" si="21"/>
        <v>0</v>
      </c>
      <c r="K40" s="633">
        <f t="shared" si="21"/>
        <v>0</v>
      </c>
      <c r="L40" s="633">
        <f t="shared" si="21"/>
        <v>0</v>
      </c>
      <c r="M40" s="633">
        <f t="shared" si="21"/>
        <v>0</v>
      </c>
      <c r="N40" s="633">
        <f t="shared" si="21"/>
        <v>0</v>
      </c>
      <c r="AC40" s="28"/>
    </row>
    <row r="41" spans="1:29" ht="12" x14ac:dyDescent="0.2">
      <c r="A41" s="292" t="s">
        <v>146</v>
      </c>
      <c r="B41" s="633">
        <f t="shared" si="21"/>
        <v>0.58484994234887178</v>
      </c>
      <c r="C41" s="633">
        <f t="shared" si="20"/>
        <v>0.58484994234887178</v>
      </c>
      <c r="D41" s="633">
        <f t="shared" si="20"/>
        <v>0.66839993411299636</v>
      </c>
      <c r="E41" s="633">
        <f t="shared" si="20"/>
        <v>0.66839993411299636</v>
      </c>
      <c r="F41" s="633">
        <f t="shared" si="20"/>
        <v>0.66839993411299636</v>
      </c>
      <c r="G41" s="633">
        <f t="shared" si="20"/>
        <v>0.66839993411299636</v>
      </c>
      <c r="H41" s="633">
        <f t="shared" si="20"/>
        <v>0.83549991764124543</v>
      </c>
      <c r="I41" s="633">
        <f t="shared" si="20"/>
        <v>0.83549991764124543</v>
      </c>
      <c r="J41" s="633">
        <f t="shared" si="20"/>
        <v>0.83549991764124543</v>
      </c>
      <c r="K41" s="633">
        <f t="shared" si="20"/>
        <v>0.83549991764124543</v>
      </c>
      <c r="L41" s="633">
        <f t="shared" si="20"/>
        <v>0.83549991764124543</v>
      </c>
      <c r="M41" s="633">
        <f t="shared" si="20"/>
        <v>0.83549991764124543</v>
      </c>
      <c r="N41" s="633">
        <f t="shared" si="20"/>
        <v>0.58484994234887178</v>
      </c>
      <c r="AC41" s="28"/>
    </row>
    <row r="42" spans="1:29" ht="12" x14ac:dyDescent="0.2">
      <c r="A42" s="292" t="s">
        <v>147</v>
      </c>
      <c r="B42" s="633">
        <f t="shared" si="21"/>
        <v>0.58484994234887178</v>
      </c>
      <c r="C42" s="633">
        <f t="shared" si="20"/>
        <v>0.58484994234887178</v>
      </c>
      <c r="D42" s="633">
        <f t="shared" si="20"/>
        <v>0.66839993411299636</v>
      </c>
      <c r="E42" s="633">
        <f t="shared" si="20"/>
        <v>0.66839993411299636</v>
      </c>
      <c r="F42" s="633">
        <f t="shared" si="20"/>
        <v>0.66839993411299636</v>
      </c>
      <c r="G42" s="633">
        <f t="shared" si="20"/>
        <v>0.66839993411299636</v>
      </c>
      <c r="H42" s="633">
        <f t="shared" si="20"/>
        <v>0.83549991764124543</v>
      </c>
      <c r="I42" s="633">
        <f t="shared" si="20"/>
        <v>0.83549991764124543</v>
      </c>
      <c r="J42" s="633">
        <f t="shared" si="20"/>
        <v>0.83549991764124543</v>
      </c>
      <c r="K42" s="633">
        <f t="shared" si="20"/>
        <v>0.83549991764124543</v>
      </c>
      <c r="L42" s="633">
        <f t="shared" si="20"/>
        <v>0.83549991764124543</v>
      </c>
      <c r="M42" s="633">
        <f t="shared" si="20"/>
        <v>0.83549991764124543</v>
      </c>
      <c r="N42" s="633">
        <f t="shared" si="20"/>
        <v>0.58484994234887178</v>
      </c>
      <c r="AC42" s="28"/>
    </row>
    <row r="43" spans="1:29" ht="12" x14ac:dyDescent="0.2">
      <c r="A43" s="292" t="s">
        <v>148</v>
      </c>
      <c r="B43" s="633">
        <f t="shared" si="21"/>
        <v>0.25392324164058644</v>
      </c>
      <c r="C43" s="633">
        <f t="shared" si="20"/>
        <v>0.25392324164058644</v>
      </c>
      <c r="D43" s="633">
        <f t="shared" si="20"/>
        <v>0.29019799044638445</v>
      </c>
      <c r="E43" s="633">
        <f t="shared" si="20"/>
        <v>0.29019799044638445</v>
      </c>
      <c r="F43" s="633">
        <f t="shared" si="20"/>
        <v>0.29019799044638445</v>
      </c>
      <c r="G43" s="633">
        <f t="shared" si="20"/>
        <v>0.29019799044638445</v>
      </c>
      <c r="H43" s="633">
        <f t="shared" si="20"/>
        <v>0.36274748805798063</v>
      </c>
      <c r="I43" s="633">
        <f t="shared" si="20"/>
        <v>0.36274748805798063</v>
      </c>
      <c r="J43" s="633">
        <f t="shared" si="20"/>
        <v>0.36274748805798063</v>
      </c>
      <c r="K43" s="633">
        <f t="shared" si="20"/>
        <v>0.36274748805798063</v>
      </c>
      <c r="L43" s="633">
        <f t="shared" si="20"/>
        <v>0.36274748805798063</v>
      </c>
      <c r="M43" s="633">
        <f t="shared" si="20"/>
        <v>0.36274748805798063</v>
      </c>
      <c r="N43" s="633">
        <f t="shared" si="20"/>
        <v>0.25392324164058644</v>
      </c>
      <c r="AC43" s="28"/>
    </row>
    <row r="44" spans="1:29" ht="12" x14ac:dyDescent="0.2">
      <c r="A44" s="292" t="s">
        <v>149</v>
      </c>
      <c r="B44" s="633">
        <f t="shared" si="21"/>
        <v>0.25392324164058644</v>
      </c>
      <c r="C44" s="633">
        <f t="shared" si="20"/>
        <v>0.25392324164058644</v>
      </c>
      <c r="D44" s="633">
        <f t="shared" si="20"/>
        <v>0.29019799044638445</v>
      </c>
      <c r="E44" s="633">
        <f t="shared" si="20"/>
        <v>0.29019799044638445</v>
      </c>
      <c r="F44" s="633">
        <f t="shared" si="20"/>
        <v>0.29019799044638445</v>
      </c>
      <c r="G44" s="633">
        <f t="shared" si="20"/>
        <v>0.29019799044638445</v>
      </c>
      <c r="H44" s="633">
        <f t="shared" si="20"/>
        <v>0.36274748805798063</v>
      </c>
      <c r="I44" s="633">
        <f t="shared" si="20"/>
        <v>0.36274748805798063</v>
      </c>
      <c r="J44" s="633">
        <f t="shared" si="20"/>
        <v>0.36274748805798063</v>
      </c>
      <c r="K44" s="633">
        <f t="shared" si="20"/>
        <v>0.36274748805798063</v>
      </c>
      <c r="L44" s="633">
        <f t="shared" si="20"/>
        <v>0.36274748805798063</v>
      </c>
      <c r="M44" s="633">
        <f t="shared" si="20"/>
        <v>0.36274748805798063</v>
      </c>
      <c r="N44" s="633">
        <f t="shared" si="20"/>
        <v>0.25392324164058644</v>
      </c>
      <c r="AC44" s="28"/>
    </row>
    <row r="45" spans="1:29" ht="12" x14ac:dyDescent="0.2">
      <c r="A45" s="292" t="s">
        <v>150</v>
      </c>
      <c r="B45" s="633">
        <f t="shared" si="21"/>
        <v>0</v>
      </c>
      <c r="C45" s="633">
        <f t="shared" si="20"/>
        <v>0</v>
      </c>
      <c r="D45" s="633">
        <f t="shared" si="20"/>
        <v>0</v>
      </c>
      <c r="E45" s="633">
        <f t="shared" si="20"/>
        <v>0</v>
      </c>
      <c r="F45" s="633">
        <f t="shared" si="20"/>
        <v>0</v>
      </c>
      <c r="G45" s="633">
        <f t="shared" si="20"/>
        <v>0</v>
      </c>
      <c r="H45" s="633">
        <f t="shared" si="20"/>
        <v>0</v>
      </c>
      <c r="I45" s="633">
        <f t="shared" si="20"/>
        <v>0</v>
      </c>
      <c r="J45" s="633">
        <f t="shared" si="20"/>
        <v>0</v>
      </c>
      <c r="K45" s="633">
        <f t="shared" si="20"/>
        <v>0</v>
      </c>
      <c r="L45" s="633">
        <f t="shared" si="20"/>
        <v>0</v>
      </c>
      <c r="M45" s="633">
        <f t="shared" si="20"/>
        <v>0</v>
      </c>
      <c r="N45" s="633">
        <f t="shared" si="20"/>
        <v>0</v>
      </c>
      <c r="AC45" s="28"/>
    </row>
    <row r="46" spans="1:29" ht="12" x14ac:dyDescent="0.2">
      <c r="A46" s="292" t="s">
        <v>151</v>
      </c>
      <c r="B46" s="633">
        <f t="shared" si="21"/>
        <v>0.58484994234887178</v>
      </c>
      <c r="C46" s="633">
        <f t="shared" si="20"/>
        <v>0.58484994234887178</v>
      </c>
      <c r="D46" s="633">
        <f t="shared" si="20"/>
        <v>0.66839993411299636</v>
      </c>
      <c r="E46" s="633">
        <f t="shared" si="20"/>
        <v>0.66839993411299636</v>
      </c>
      <c r="F46" s="633">
        <f t="shared" si="20"/>
        <v>0.66839993411299636</v>
      </c>
      <c r="G46" s="633">
        <f t="shared" si="20"/>
        <v>0.66839993411299636</v>
      </c>
      <c r="H46" s="633">
        <f t="shared" si="20"/>
        <v>0.83549991764124543</v>
      </c>
      <c r="I46" s="633">
        <f t="shared" si="20"/>
        <v>0.83549991764124543</v>
      </c>
      <c r="J46" s="633">
        <f t="shared" si="20"/>
        <v>0.83549991764124543</v>
      </c>
      <c r="K46" s="633">
        <f t="shared" si="20"/>
        <v>0.83549991764124543</v>
      </c>
      <c r="L46" s="633">
        <f t="shared" si="20"/>
        <v>0.83549991764124543</v>
      </c>
      <c r="M46" s="633">
        <f t="shared" si="20"/>
        <v>0.83549991764124543</v>
      </c>
      <c r="N46" s="633">
        <f t="shared" si="20"/>
        <v>0.58484994234887178</v>
      </c>
      <c r="AC46" s="28"/>
    </row>
    <row r="47" spans="1:29" ht="12" x14ac:dyDescent="0.2">
      <c r="A47" s="292" t="s">
        <v>152</v>
      </c>
      <c r="B47" s="633">
        <f>IF(B$13="Deploy",B$36,B$36*$B185)</f>
        <v>0.36239960467797733</v>
      </c>
      <c r="C47" s="633">
        <f t="shared" ref="C47:N47" si="22">IF(C$13="Deploy",C$36,C$36*$B185)</f>
        <v>0.36239960467797733</v>
      </c>
      <c r="D47" s="633">
        <f t="shared" si="22"/>
        <v>0.41417097677483122</v>
      </c>
      <c r="E47" s="633">
        <f t="shared" si="22"/>
        <v>0.41417097677483122</v>
      </c>
      <c r="F47" s="633">
        <f t="shared" si="22"/>
        <v>0.41417097677483122</v>
      </c>
      <c r="G47" s="633">
        <f t="shared" si="22"/>
        <v>0.41417097677483122</v>
      </c>
      <c r="H47" s="633">
        <f t="shared" si="22"/>
        <v>1.6</v>
      </c>
      <c r="I47" s="633">
        <f t="shared" si="22"/>
        <v>1.6</v>
      </c>
      <c r="J47" s="633">
        <f t="shared" si="22"/>
        <v>1.6</v>
      </c>
      <c r="K47" s="633">
        <f t="shared" si="22"/>
        <v>1.6</v>
      </c>
      <c r="L47" s="633">
        <f t="shared" si="22"/>
        <v>1.6</v>
      </c>
      <c r="M47" s="633">
        <f t="shared" si="22"/>
        <v>1.6</v>
      </c>
      <c r="N47" s="633">
        <f t="shared" si="22"/>
        <v>0.36239960467797733</v>
      </c>
      <c r="AC47" s="28"/>
    </row>
    <row r="48" spans="1:29" x14ac:dyDescent="0.2">
      <c r="A48" s="369" t="s">
        <v>153</v>
      </c>
      <c r="B48" s="633">
        <f t="shared" si="21"/>
        <v>1.1200000000000001</v>
      </c>
      <c r="C48" s="633">
        <f t="shared" si="20"/>
        <v>1.1200000000000001</v>
      </c>
      <c r="D48" s="633">
        <f t="shared" si="20"/>
        <v>1.28</v>
      </c>
      <c r="E48" s="633">
        <f t="shared" si="20"/>
        <v>1.28</v>
      </c>
      <c r="F48" s="633">
        <f t="shared" si="20"/>
        <v>1.28</v>
      </c>
      <c r="G48" s="633">
        <f t="shared" si="20"/>
        <v>1.28</v>
      </c>
      <c r="H48" s="633">
        <f t="shared" si="20"/>
        <v>1.6</v>
      </c>
      <c r="I48" s="633">
        <f t="shared" si="20"/>
        <v>1.6</v>
      </c>
      <c r="J48" s="633">
        <f t="shared" si="20"/>
        <v>1.6</v>
      </c>
      <c r="K48" s="633">
        <f t="shared" si="20"/>
        <v>1.6</v>
      </c>
      <c r="L48" s="633">
        <f t="shared" si="20"/>
        <v>1.6</v>
      </c>
      <c r="M48" s="633">
        <f t="shared" si="20"/>
        <v>1.6</v>
      </c>
      <c r="N48" s="633">
        <f t="shared" si="20"/>
        <v>1.1200000000000001</v>
      </c>
      <c r="AC48" s="28"/>
    </row>
    <row r="49" spans="1:29" x14ac:dyDescent="0.2">
      <c r="A49" s="153" t="s">
        <v>154</v>
      </c>
      <c r="B49" s="86"/>
      <c r="C49" s="47"/>
      <c r="D49" s="47"/>
      <c r="E49" s="30"/>
      <c r="F49" s="30"/>
      <c r="G49" s="30"/>
      <c r="H49" s="30"/>
      <c r="I49" s="30"/>
      <c r="J49" s="30"/>
      <c r="K49" s="30"/>
      <c r="L49" s="30"/>
      <c r="M49" s="87"/>
      <c r="N49" s="51"/>
      <c r="AC49" s="28"/>
    </row>
    <row r="50" spans="1:29" ht="12" x14ac:dyDescent="0.2">
      <c r="A50" s="293" t="s">
        <v>155</v>
      </c>
      <c r="B50" s="85">
        <v>0</v>
      </c>
      <c r="C50" s="85">
        <v>0</v>
      </c>
      <c r="D50" s="85">
        <v>0</v>
      </c>
      <c r="E50" s="85">
        <v>0</v>
      </c>
      <c r="F50" s="85">
        <v>0</v>
      </c>
      <c r="G50" s="85">
        <v>0</v>
      </c>
      <c r="H50" s="85">
        <v>0</v>
      </c>
      <c r="I50" s="85">
        <v>0</v>
      </c>
      <c r="J50" s="85">
        <v>0</v>
      </c>
      <c r="K50" s="85">
        <v>0</v>
      </c>
      <c r="L50" s="85">
        <v>0</v>
      </c>
      <c r="M50" s="85">
        <v>0</v>
      </c>
      <c r="N50" s="85">
        <v>0</v>
      </c>
      <c r="P50" s="316"/>
      <c r="AC50" s="28"/>
    </row>
    <row r="51" spans="1:29" ht="12" x14ac:dyDescent="0.2">
      <c r="A51" s="294" t="s">
        <v>156</v>
      </c>
      <c r="B51" s="52">
        <v>0</v>
      </c>
      <c r="C51" s="52">
        <v>0</v>
      </c>
      <c r="D51" s="52">
        <v>0</v>
      </c>
      <c r="E51" s="52">
        <v>0</v>
      </c>
      <c r="F51" s="52">
        <v>0</v>
      </c>
      <c r="G51" s="52">
        <v>0</v>
      </c>
      <c r="H51" s="52">
        <v>0</v>
      </c>
      <c r="I51" s="52">
        <v>0</v>
      </c>
      <c r="J51" s="52">
        <v>0</v>
      </c>
      <c r="K51" s="52">
        <v>0</v>
      </c>
      <c r="L51" s="52">
        <v>0</v>
      </c>
      <c r="M51" s="52">
        <v>0</v>
      </c>
      <c r="N51" s="52">
        <v>0</v>
      </c>
      <c r="P51" s="316"/>
      <c r="AC51" s="28"/>
    </row>
    <row r="52" spans="1:29" ht="12" x14ac:dyDescent="0.2">
      <c r="A52" s="293" t="s">
        <v>157</v>
      </c>
      <c r="B52" s="85">
        <v>0</v>
      </c>
      <c r="C52" s="85">
        <v>0</v>
      </c>
      <c r="D52" s="85">
        <v>0</v>
      </c>
      <c r="E52" s="85">
        <v>0</v>
      </c>
      <c r="F52" s="85">
        <v>0</v>
      </c>
      <c r="G52" s="85">
        <v>0</v>
      </c>
      <c r="H52" s="85">
        <v>0</v>
      </c>
      <c r="I52" s="85">
        <v>0</v>
      </c>
      <c r="J52" s="85">
        <v>0</v>
      </c>
      <c r="K52" s="85">
        <v>0</v>
      </c>
      <c r="L52" s="85">
        <v>0</v>
      </c>
      <c r="M52" s="85">
        <v>0</v>
      </c>
      <c r="N52" s="85">
        <v>0</v>
      </c>
      <c r="P52" s="316"/>
      <c r="AC52" s="28"/>
    </row>
    <row r="53" spans="1:29" ht="12" x14ac:dyDescent="0.2">
      <c r="A53" s="294" t="s">
        <v>158</v>
      </c>
      <c r="B53" s="52">
        <v>0</v>
      </c>
      <c r="C53" s="52">
        <v>0</v>
      </c>
      <c r="D53" s="52">
        <v>0</v>
      </c>
      <c r="E53" s="52">
        <v>0</v>
      </c>
      <c r="F53" s="52">
        <v>0</v>
      </c>
      <c r="G53" s="52">
        <v>0</v>
      </c>
      <c r="H53" s="52">
        <v>0</v>
      </c>
      <c r="I53" s="52">
        <v>0</v>
      </c>
      <c r="J53" s="52">
        <v>0</v>
      </c>
      <c r="K53" s="52">
        <v>0</v>
      </c>
      <c r="L53" s="52">
        <v>0</v>
      </c>
      <c r="M53" s="52">
        <v>0</v>
      </c>
      <c r="N53" s="52">
        <v>0</v>
      </c>
      <c r="P53" s="316"/>
      <c r="AC53" s="28"/>
    </row>
    <row r="54" spans="1:29" s="40" customFormat="1" ht="12" x14ac:dyDescent="0.2">
      <c r="A54" s="293" t="s">
        <v>159</v>
      </c>
      <c r="B54" s="85">
        <v>0</v>
      </c>
      <c r="C54" s="85">
        <v>0</v>
      </c>
      <c r="D54" s="85">
        <v>0</v>
      </c>
      <c r="E54" s="85">
        <v>0</v>
      </c>
      <c r="F54" s="85">
        <v>0</v>
      </c>
      <c r="G54" s="85">
        <v>0</v>
      </c>
      <c r="H54" s="85">
        <v>0</v>
      </c>
      <c r="I54" s="85">
        <v>0</v>
      </c>
      <c r="J54" s="85">
        <v>0</v>
      </c>
      <c r="K54" s="85">
        <v>0</v>
      </c>
      <c r="L54" s="85">
        <v>0</v>
      </c>
      <c r="M54" s="85">
        <v>0</v>
      </c>
      <c r="N54" s="85">
        <v>0</v>
      </c>
      <c r="P54" s="316"/>
    </row>
    <row r="55" spans="1:29" s="40" customFormat="1" ht="12" x14ac:dyDescent="0.2">
      <c r="A55" s="294" t="s">
        <v>160</v>
      </c>
      <c r="B55" s="52">
        <v>0</v>
      </c>
      <c r="C55" s="52">
        <v>0</v>
      </c>
      <c r="D55" s="52">
        <v>0</v>
      </c>
      <c r="E55" s="52">
        <v>0</v>
      </c>
      <c r="F55" s="52">
        <v>0</v>
      </c>
      <c r="G55" s="52">
        <v>0</v>
      </c>
      <c r="H55" s="52">
        <v>0</v>
      </c>
      <c r="I55" s="52">
        <v>0</v>
      </c>
      <c r="J55" s="52">
        <v>0</v>
      </c>
      <c r="K55" s="52">
        <v>0</v>
      </c>
      <c r="L55" s="52">
        <v>0</v>
      </c>
      <c r="M55" s="52">
        <v>0</v>
      </c>
      <c r="N55" s="52">
        <v>0</v>
      </c>
      <c r="P55" s="316"/>
    </row>
    <row r="56" spans="1:29" s="40" customFormat="1" ht="12" x14ac:dyDescent="0.2">
      <c r="A56" s="293" t="s">
        <v>161</v>
      </c>
      <c r="B56" s="85">
        <v>0</v>
      </c>
      <c r="C56" s="85">
        <v>0</v>
      </c>
      <c r="D56" s="85">
        <v>0</v>
      </c>
      <c r="E56" s="85">
        <v>0</v>
      </c>
      <c r="F56" s="85">
        <v>0</v>
      </c>
      <c r="G56" s="85">
        <v>0</v>
      </c>
      <c r="H56" s="85">
        <v>0</v>
      </c>
      <c r="I56" s="85">
        <v>0</v>
      </c>
      <c r="J56" s="85">
        <v>0</v>
      </c>
      <c r="K56" s="85">
        <v>0</v>
      </c>
      <c r="L56" s="85">
        <v>0</v>
      </c>
      <c r="M56" s="85">
        <v>0</v>
      </c>
      <c r="N56" s="85">
        <v>0</v>
      </c>
      <c r="P56" s="316"/>
    </row>
    <row r="57" spans="1:29" s="40" customFormat="1" ht="12" x14ac:dyDescent="0.2">
      <c r="A57" s="294" t="s">
        <v>162</v>
      </c>
      <c r="B57" s="52">
        <v>0</v>
      </c>
      <c r="C57" s="52">
        <v>0</v>
      </c>
      <c r="D57" s="52">
        <v>0</v>
      </c>
      <c r="E57" s="52">
        <v>0</v>
      </c>
      <c r="F57" s="52">
        <v>0</v>
      </c>
      <c r="G57" s="52">
        <v>0</v>
      </c>
      <c r="H57" s="52">
        <v>0</v>
      </c>
      <c r="I57" s="52">
        <v>0</v>
      </c>
      <c r="J57" s="52">
        <v>0</v>
      </c>
      <c r="K57" s="52">
        <v>0</v>
      </c>
      <c r="L57" s="52">
        <v>0</v>
      </c>
      <c r="M57" s="52">
        <v>0</v>
      </c>
      <c r="N57" s="52">
        <v>0</v>
      </c>
      <c r="P57" s="316"/>
    </row>
    <row r="58" spans="1:29" s="40" customFormat="1" ht="12" x14ac:dyDescent="0.2">
      <c r="A58" s="293" t="s">
        <v>163</v>
      </c>
      <c r="B58" s="85">
        <v>0</v>
      </c>
      <c r="C58" s="85">
        <v>0</v>
      </c>
      <c r="D58" s="85">
        <v>0</v>
      </c>
      <c r="E58" s="85">
        <v>0</v>
      </c>
      <c r="F58" s="85">
        <v>0</v>
      </c>
      <c r="G58" s="85">
        <v>0</v>
      </c>
      <c r="H58" s="85">
        <v>0</v>
      </c>
      <c r="I58" s="85">
        <v>0</v>
      </c>
      <c r="J58" s="85">
        <v>0</v>
      </c>
      <c r="K58" s="85">
        <v>0</v>
      </c>
      <c r="L58" s="85">
        <v>0</v>
      </c>
      <c r="M58" s="85">
        <v>0</v>
      </c>
      <c r="N58" s="85">
        <v>0</v>
      </c>
    </row>
    <row r="59" spans="1:29" s="40" customFormat="1" ht="12" x14ac:dyDescent="0.2">
      <c r="A59" s="294" t="s">
        <v>164</v>
      </c>
      <c r="B59" s="52">
        <v>0</v>
      </c>
      <c r="C59" s="52">
        <v>0</v>
      </c>
      <c r="D59" s="52">
        <v>0</v>
      </c>
      <c r="E59" s="52">
        <v>0</v>
      </c>
      <c r="F59" s="52">
        <v>0</v>
      </c>
      <c r="G59" s="52">
        <v>0</v>
      </c>
      <c r="H59" s="52">
        <v>0</v>
      </c>
      <c r="I59" s="52">
        <v>0</v>
      </c>
      <c r="J59" s="52">
        <v>0</v>
      </c>
      <c r="K59" s="52">
        <v>0</v>
      </c>
      <c r="L59" s="52">
        <v>0</v>
      </c>
      <c r="M59" s="52">
        <v>0</v>
      </c>
      <c r="N59" s="52">
        <v>0</v>
      </c>
    </row>
    <row r="60" spans="1:29" x14ac:dyDescent="0.2">
      <c r="A60" s="155" t="s">
        <v>165</v>
      </c>
      <c r="B60" s="117"/>
      <c r="C60" s="53"/>
      <c r="D60" s="53"/>
      <c r="E60" s="118"/>
      <c r="F60" s="30"/>
      <c r="G60" s="30"/>
      <c r="H60" s="30"/>
      <c r="I60" s="30"/>
      <c r="J60" s="30"/>
      <c r="K60" s="30"/>
      <c r="L60" s="30"/>
      <c r="M60" s="87"/>
      <c r="N60" s="176"/>
      <c r="AC60" s="28"/>
    </row>
    <row r="61" spans="1:29" x14ac:dyDescent="0.2">
      <c r="A61" s="374" t="str">
        <f>A110</f>
        <v>Pilot Upper Limit</v>
      </c>
      <c r="B61" s="145">
        <f>$B110</f>
        <v>6</v>
      </c>
      <c r="C61" s="145">
        <f>$B110</f>
        <v>6</v>
      </c>
      <c r="D61" s="145">
        <f>$B110</f>
        <v>6</v>
      </c>
      <c r="E61" s="145">
        <f>$B110</f>
        <v>6</v>
      </c>
      <c r="F61" s="145">
        <f t="shared" ref="F61:N61" si="23">$B110</f>
        <v>6</v>
      </c>
      <c r="G61" s="145">
        <f t="shared" si="23"/>
        <v>6</v>
      </c>
      <c r="H61" s="145">
        <f t="shared" si="23"/>
        <v>6</v>
      </c>
      <c r="I61" s="145">
        <f t="shared" si="23"/>
        <v>6</v>
      </c>
      <c r="J61" s="145">
        <f t="shared" si="23"/>
        <v>6</v>
      </c>
      <c r="K61" s="145">
        <f t="shared" si="23"/>
        <v>6</v>
      </c>
      <c r="L61" s="145">
        <f t="shared" si="23"/>
        <v>6</v>
      </c>
      <c r="M61" s="145">
        <f t="shared" si="23"/>
        <v>6</v>
      </c>
      <c r="N61" s="145">
        <f t="shared" si="23"/>
        <v>6</v>
      </c>
      <c r="AC61" s="28"/>
    </row>
    <row r="62" spans="1:29" x14ac:dyDescent="0.2">
      <c r="A62" s="374" t="str">
        <f t="shared" ref="A62:A92" si="24">A111</f>
        <v>Pilot Lower Limit</v>
      </c>
      <c r="B62" s="146">
        <f>IF($B111 = 0,"N/A",ROUNDUP(IF(B$13="Deploy",MAX((B$104/100)*$B111,$B111),(B$104/100)*$B111),0))</f>
        <v>3</v>
      </c>
      <c r="C62" s="146">
        <f>IF($B111 = 0,"N/A",ROUNDUP(IF(C$13="Deploy",MAX((C$104/100)*$B111,$B111),(C$104/100)*$B111),0))</f>
        <v>3</v>
      </c>
      <c r="D62" s="146">
        <f>IF($B111 = 0,"N/A",ROUNDUP(IF(D$13="Deploy",MAX((D$104/100)*$B111,$B111),(D$104/100)*$B111),0))</f>
        <v>4</v>
      </c>
      <c r="E62" s="146">
        <f>IF($B111 = 0,"N/A",ROUNDUP(IF(E$13="Deploy",MAX((E$104/100)*$B111,$B111),(E$104/100)*$B111),0))</f>
        <v>4</v>
      </c>
      <c r="F62" s="146">
        <f t="shared" ref="F62:N62" si="25">IF($B111 = 0,"N/A",ROUNDUP(IF(F$13="Deploy",MAX((F$104/100)*$B111,$B111),(F$104/100)*$B111),0))</f>
        <v>5</v>
      </c>
      <c r="G62" s="146">
        <f t="shared" si="25"/>
        <v>5</v>
      </c>
      <c r="H62" s="146">
        <f t="shared" si="25"/>
        <v>6</v>
      </c>
      <c r="I62" s="146">
        <f t="shared" si="25"/>
        <v>6</v>
      </c>
      <c r="J62" s="146">
        <f t="shared" si="25"/>
        <v>6</v>
      </c>
      <c r="K62" s="146">
        <f t="shared" si="25"/>
        <v>6</v>
      </c>
      <c r="L62" s="146">
        <f t="shared" si="25"/>
        <v>6</v>
      </c>
      <c r="M62" s="146">
        <f t="shared" si="25"/>
        <v>6</v>
      </c>
      <c r="N62" s="146">
        <f t="shared" si="25"/>
        <v>2</v>
      </c>
      <c r="AC62" s="28"/>
    </row>
    <row r="63" spans="1:29" x14ac:dyDescent="0.2">
      <c r="A63" s="374" t="str">
        <f t="shared" si="24"/>
        <v>MRWMC Pilots</v>
      </c>
      <c r="B63" s="146" t="str">
        <f t="shared" ref="B63:B77" si="26">IF($B112 = "NA","NA",ROUNDUP(IF(B$13="Deploy",MAX((B$104/100)*$B112,$B112),(B$104/100)*$B112),0))</f>
        <v>NA</v>
      </c>
      <c r="C63" s="146" t="str">
        <f t="shared" ref="C63:F63" si="27">IF($B112 = "NA","NA",ROUNDUP(IF(C$13="Deploy",MAX((C$104/100)*$B112,$B112),(C$104/100)*$B112),0))</f>
        <v>NA</v>
      </c>
      <c r="D63" s="146" t="str">
        <f t="shared" si="27"/>
        <v>NA</v>
      </c>
      <c r="E63" s="146" t="str">
        <f t="shared" si="27"/>
        <v>NA</v>
      </c>
      <c r="F63" s="146" t="str">
        <f t="shared" si="27"/>
        <v>NA</v>
      </c>
      <c r="G63" s="146" t="str">
        <f t="shared" ref="G63:N63" si="28">IF($B112 = "NA","NA",ROUNDUP(IF(G$13="Deploy",MAX((G$104/100)*$B112,$B112),(G$104/100)*$B112),0))</f>
        <v>NA</v>
      </c>
      <c r="H63" s="146" t="str">
        <f t="shared" si="28"/>
        <v>NA</v>
      </c>
      <c r="I63" s="146" t="str">
        <f t="shared" si="28"/>
        <v>NA</v>
      </c>
      <c r="J63" s="146" t="str">
        <f t="shared" si="28"/>
        <v>NA</v>
      </c>
      <c r="K63" s="146" t="str">
        <f t="shared" si="28"/>
        <v>NA</v>
      </c>
      <c r="L63" s="146" t="str">
        <f t="shared" si="28"/>
        <v>NA</v>
      </c>
      <c r="M63" s="146" t="str">
        <f t="shared" si="28"/>
        <v>NA</v>
      </c>
      <c r="N63" s="146" t="str">
        <f t="shared" si="28"/>
        <v>NA</v>
      </c>
      <c r="AC63" s="28"/>
    </row>
    <row r="64" spans="1:29" x14ac:dyDescent="0.2">
      <c r="A64" s="374" t="str">
        <f t="shared" si="24"/>
        <v>≥ Level 4 Pilots</v>
      </c>
      <c r="B64" s="146" t="str">
        <f t="shared" si="26"/>
        <v>NA</v>
      </c>
      <c r="C64" s="146" t="str">
        <f t="shared" ref="C64:E77" si="29">IF($B113 = "NA","NA",ROUNDUP(IF(C$13="Deploy",MAX((C$104/100)*$B113,$B113),(C$104/100)*$B113),0))</f>
        <v>NA</v>
      </c>
      <c r="D64" s="146" t="str">
        <f t="shared" si="29"/>
        <v>NA</v>
      </c>
      <c r="E64" s="146" t="str">
        <f t="shared" si="29"/>
        <v>NA</v>
      </c>
      <c r="F64" s="146" t="str">
        <f t="shared" ref="F64:N64" si="30">IF($B113 = "NA","NA",ROUNDUP(IF(F$13="Deploy",MAX((F$104/100)*$B113,$B113),(F$104/100)*$B113),0))</f>
        <v>NA</v>
      </c>
      <c r="G64" s="146" t="str">
        <f t="shared" si="30"/>
        <v>NA</v>
      </c>
      <c r="H64" s="146" t="str">
        <f t="shared" si="30"/>
        <v>NA</v>
      </c>
      <c r="I64" s="146" t="str">
        <f t="shared" si="30"/>
        <v>NA</v>
      </c>
      <c r="J64" s="146" t="str">
        <f t="shared" si="30"/>
        <v>NA</v>
      </c>
      <c r="K64" s="146" t="str">
        <f t="shared" si="30"/>
        <v>NA</v>
      </c>
      <c r="L64" s="146" t="str">
        <f t="shared" si="30"/>
        <v>NA</v>
      </c>
      <c r="M64" s="146" t="str">
        <f t="shared" si="30"/>
        <v>NA</v>
      </c>
      <c r="N64" s="146" t="str">
        <f t="shared" si="30"/>
        <v>NA</v>
      </c>
      <c r="AC64" s="28"/>
    </row>
    <row r="65" spans="1:29" x14ac:dyDescent="0.2">
      <c r="A65" s="374" t="str">
        <f t="shared" si="24"/>
        <v>≥ Level 3 Pilots</v>
      </c>
      <c r="B65" s="146">
        <f t="shared" si="26"/>
        <v>1</v>
      </c>
      <c r="C65" s="146">
        <f t="shared" si="29"/>
        <v>1</v>
      </c>
      <c r="D65" s="146">
        <f t="shared" si="29"/>
        <v>1</v>
      </c>
      <c r="E65" s="146">
        <f t="shared" si="29"/>
        <v>1</v>
      </c>
      <c r="F65" s="146">
        <f t="shared" ref="F65:N65" si="31">IF($B114 = "NA","NA",ROUNDUP(IF(F$13="Deploy",MAX((F$104/100)*$B114,$B114),(F$104/100)*$B114),0))</f>
        <v>1</v>
      </c>
      <c r="G65" s="146">
        <f t="shared" si="31"/>
        <v>1</v>
      </c>
      <c r="H65" s="146">
        <f t="shared" si="31"/>
        <v>1</v>
      </c>
      <c r="I65" s="146">
        <f t="shared" si="31"/>
        <v>1</v>
      </c>
      <c r="J65" s="146">
        <f t="shared" si="31"/>
        <v>1</v>
      </c>
      <c r="K65" s="146">
        <f t="shared" si="31"/>
        <v>1</v>
      </c>
      <c r="L65" s="146">
        <f t="shared" si="31"/>
        <v>1</v>
      </c>
      <c r="M65" s="146">
        <f t="shared" si="31"/>
        <v>1</v>
      </c>
      <c r="N65" s="146">
        <f t="shared" si="31"/>
        <v>1</v>
      </c>
      <c r="AC65" s="28"/>
    </row>
    <row r="66" spans="1:29" x14ac:dyDescent="0.2">
      <c r="A66" s="374" t="str">
        <f t="shared" si="24"/>
        <v>≥ Level 2 Pilots</v>
      </c>
      <c r="B66" s="146">
        <f t="shared" si="26"/>
        <v>2</v>
      </c>
      <c r="C66" s="146">
        <f t="shared" si="29"/>
        <v>2</v>
      </c>
      <c r="D66" s="146">
        <f t="shared" si="29"/>
        <v>2</v>
      </c>
      <c r="E66" s="146">
        <f t="shared" si="29"/>
        <v>2</v>
      </c>
      <c r="F66" s="146">
        <f t="shared" ref="F66:N66" si="32">IF($B115 = "NA","NA",ROUNDUP(IF(F$13="Deploy",MAX((F$104/100)*$B115,$B115),(F$104/100)*$B115),0))</f>
        <v>3</v>
      </c>
      <c r="G66" s="146">
        <f t="shared" si="32"/>
        <v>3</v>
      </c>
      <c r="H66" s="146">
        <f t="shared" si="32"/>
        <v>3</v>
      </c>
      <c r="I66" s="146">
        <f t="shared" si="32"/>
        <v>3</v>
      </c>
      <c r="J66" s="146">
        <f t="shared" si="32"/>
        <v>3</v>
      </c>
      <c r="K66" s="146">
        <f t="shared" si="32"/>
        <v>3</v>
      </c>
      <c r="L66" s="146">
        <f t="shared" si="32"/>
        <v>3</v>
      </c>
      <c r="M66" s="146">
        <f t="shared" si="32"/>
        <v>3</v>
      </c>
      <c r="N66" s="146">
        <f t="shared" si="32"/>
        <v>1</v>
      </c>
      <c r="AC66" s="28"/>
    </row>
    <row r="67" spans="1:29" x14ac:dyDescent="0.2">
      <c r="A67" s="374" t="str">
        <f t="shared" si="24"/>
        <v>≥ Level 1 Pilots</v>
      </c>
      <c r="B67" s="146">
        <f t="shared" si="26"/>
        <v>3</v>
      </c>
      <c r="C67" s="146">
        <f t="shared" si="29"/>
        <v>3</v>
      </c>
      <c r="D67" s="146">
        <f t="shared" si="29"/>
        <v>4</v>
      </c>
      <c r="E67" s="146">
        <f t="shared" si="29"/>
        <v>4</v>
      </c>
      <c r="F67" s="146">
        <f t="shared" ref="F67:N67" si="33">IF($B116 = "NA","NA",ROUNDUP(IF(F$13="Deploy",MAX((F$104/100)*$B116,$B116),(F$104/100)*$B116),0))</f>
        <v>5</v>
      </c>
      <c r="G67" s="146">
        <f t="shared" si="33"/>
        <v>5</v>
      </c>
      <c r="H67" s="146">
        <f t="shared" si="33"/>
        <v>6</v>
      </c>
      <c r="I67" s="146">
        <f t="shared" si="33"/>
        <v>6</v>
      </c>
      <c r="J67" s="146">
        <f t="shared" si="33"/>
        <v>6</v>
      </c>
      <c r="K67" s="146">
        <f t="shared" si="33"/>
        <v>6</v>
      </c>
      <c r="L67" s="146">
        <f t="shared" si="33"/>
        <v>6</v>
      </c>
      <c r="M67" s="146">
        <f t="shared" si="33"/>
        <v>6</v>
      </c>
      <c r="N67" s="146">
        <f t="shared" si="33"/>
        <v>2</v>
      </c>
      <c r="AC67" s="28"/>
    </row>
    <row r="68" spans="1:29" x14ac:dyDescent="0.2">
      <c r="A68" s="374" t="str">
        <f t="shared" si="24"/>
        <v>≥ PR/SOF 4 Pilots</v>
      </c>
      <c r="B68" s="146" t="str">
        <f t="shared" si="26"/>
        <v>NA</v>
      </c>
      <c r="C68" s="146" t="str">
        <f t="shared" si="29"/>
        <v>NA</v>
      </c>
      <c r="D68" s="146" t="str">
        <f t="shared" si="29"/>
        <v>NA</v>
      </c>
      <c r="E68" s="146" t="str">
        <f t="shared" si="29"/>
        <v>NA</v>
      </c>
      <c r="F68" s="146" t="str">
        <f t="shared" ref="F68:N68" si="34">IF($B117 = "NA","NA",ROUNDUP(IF(F$13="Deploy",MAX((F$104/100)*$B117,$B117),(F$104/100)*$B117),0))</f>
        <v>NA</v>
      </c>
      <c r="G68" s="146" t="str">
        <f t="shared" si="34"/>
        <v>NA</v>
      </c>
      <c r="H68" s="146" t="str">
        <f t="shared" si="34"/>
        <v>NA</v>
      </c>
      <c r="I68" s="146" t="str">
        <f t="shared" si="34"/>
        <v>NA</v>
      </c>
      <c r="J68" s="146" t="str">
        <f t="shared" si="34"/>
        <v>NA</v>
      </c>
      <c r="K68" s="146" t="str">
        <f t="shared" si="34"/>
        <v>NA</v>
      </c>
      <c r="L68" s="146" t="str">
        <f t="shared" si="34"/>
        <v>NA</v>
      </c>
      <c r="M68" s="146" t="str">
        <f t="shared" si="34"/>
        <v>NA</v>
      </c>
      <c r="N68" s="146" t="str">
        <f t="shared" si="34"/>
        <v>NA</v>
      </c>
      <c r="AC68" s="28"/>
    </row>
    <row r="69" spans="1:29" x14ac:dyDescent="0.2">
      <c r="A69" s="374" t="str">
        <f t="shared" si="24"/>
        <v>≥ PR/SOF 3 Pilots</v>
      </c>
      <c r="B69" s="146" t="str">
        <f t="shared" si="26"/>
        <v>NA</v>
      </c>
      <c r="C69" s="146" t="str">
        <f t="shared" si="29"/>
        <v>NA</v>
      </c>
      <c r="D69" s="146" t="str">
        <f t="shared" si="29"/>
        <v>NA</v>
      </c>
      <c r="E69" s="146" t="str">
        <f t="shared" si="29"/>
        <v>NA</v>
      </c>
      <c r="F69" s="146" t="str">
        <f t="shared" ref="F69:N69" si="35">IF($B118 = "NA","NA",ROUNDUP(IF(F$13="Deploy",MAX((F$104/100)*$B118,$B118),(F$104/100)*$B118),0))</f>
        <v>NA</v>
      </c>
      <c r="G69" s="146" t="str">
        <f t="shared" si="35"/>
        <v>NA</v>
      </c>
      <c r="H69" s="146" t="str">
        <f t="shared" si="35"/>
        <v>NA</v>
      </c>
      <c r="I69" s="146" t="str">
        <f t="shared" si="35"/>
        <v>NA</v>
      </c>
      <c r="J69" s="146" t="str">
        <f t="shared" si="35"/>
        <v>NA</v>
      </c>
      <c r="K69" s="146" t="str">
        <f t="shared" si="35"/>
        <v>NA</v>
      </c>
      <c r="L69" s="146" t="str">
        <f t="shared" si="35"/>
        <v>NA</v>
      </c>
      <c r="M69" s="146" t="str">
        <f t="shared" si="35"/>
        <v>NA</v>
      </c>
      <c r="N69" s="146" t="str">
        <f t="shared" si="35"/>
        <v>NA</v>
      </c>
      <c r="AC69" s="28"/>
    </row>
    <row r="70" spans="1:29" x14ac:dyDescent="0.2">
      <c r="A70" s="374" t="str">
        <f t="shared" si="24"/>
        <v>≥ PR/SOF 2 Pilots</v>
      </c>
      <c r="B70" s="146" t="str">
        <f t="shared" si="26"/>
        <v>NA</v>
      </c>
      <c r="C70" s="146" t="str">
        <f t="shared" si="29"/>
        <v>NA</v>
      </c>
      <c r="D70" s="146" t="str">
        <f t="shared" si="29"/>
        <v>NA</v>
      </c>
      <c r="E70" s="146" t="str">
        <f t="shared" si="29"/>
        <v>NA</v>
      </c>
      <c r="F70" s="146" t="str">
        <f t="shared" ref="F70:N70" si="36">IF($B119 = "NA","NA",ROUNDUP(IF(F$13="Deploy",MAX((F$104/100)*$B119,$B119),(F$104/100)*$B119),0))</f>
        <v>NA</v>
      </c>
      <c r="G70" s="146" t="str">
        <f t="shared" si="36"/>
        <v>NA</v>
      </c>
      <c r="H70" s="146" t="str">
        <f t="shared" si="36"/>
        <v>NA</v>
      </c>
      <c r="I70" s="146" t="str">
        <f t="shared" si="36"/>
        <v>NA</v>
      </c>
      <c r="J70" s="146" t="str">
        <f t="shared" si="36"/>
        <v>NA</v>
      </c>
      <c r="K70" s="146" t="str">
        <f t="shared" si="36"/>
        <v>NA</v>
      </c>
      <c r="L70" s="146" t="str">
        <f t="shared" si="36"/>
        <v>NA</v>
      </c>
      <c r="M70" s="146" t="str">
        <f t="shared" si="36"/>
        <v>NA</v>
      </c>
      <c r="N70" s="146" t="str">
        <f t="shared" si="36"/>
        <v>NA</v>
      </c>
      <c r="AC70" s="28"/>
    </row>
    <row r="71" spans="1:29" x14ac:dyDescent="0.2">
      <c r="A71" s="374" t="str">
        <f t="shared" si="24"/>
        <v>≥ PR/SOF 1 Pilots</v>
      </c>
      <c r="B71" s="146" t="str">
        <f t="shared" si="26"/>
        <v>NA</v>
      </c>
      <c r="C71" s="146" t="str">
        <f t="shared" si="29"/>
        <v>NA</v>
      </c>
      <c r="D71" s="146" t="str">
        <f t="shared" si="29"/>
        <v>NA</v>
      </c>
      <c r="E71" s="146" t="str">
        <f t="shared" si="29"/>
        <v>NA</v>
      </c>
      <c r="F71" s="146" t="str">
        <f t="shared" ref="F71:N71" si="37">IF($B120 = "NA","NA",ROUNDUP(IF(F$13="Deploy",MAX((F$104/100)*$B120,$B120),(F$104/100)*$B120),0))</f>
        <v>NA</v>
      </c>
      <c r="G71" s="146" t="str">
        <f t="shared" si="37"/>
        <v>NA</v>
      </c>
      <c r="H71" s="146" t="str">
        <f t="shared" si="37"/>
        <v>NA</v>
      </c>
      <c r="I71" s="146" t="str">
        <f t="shared" si="37"/>
        <v>NA</v>
      </c>
      <c r="J71" s="146" t="str">
        <f t="shared" si="37"/>
        <v>NA</v>
      </c>
      <c r="K71" s="146" t="str">
        <f t="shared" si="37"/>
        <v>NA</v>
      </c>
      <c r="L71" s="146" t="str">
        <f t="shared" si="37"/>
        <v>NA</v>
      </c>
      <c r="M71" s="146" t="str">
        <f t="shared" si="37"/>
        <v>NA</v>
      </c>
      <c r="N71" s="146" t="str">
        <f t="shared" si="37"/>
        <v>NA</v>
      </c>
      <c r="AC71" s="28"/>
    </row>
    <row r="72" spans="1:29" x14ac:dyDescent="0.2">
      <c r="A72" s="374" t="str">
        <f t="shared" si="24"/>
        <v>≥ MIW Level 2 Pilots</v>
      </c>
      <c r="B72" s="146" t="str">
        <f t="shared" si="26"/>
        <v>NA</v>
      </c>
      <c r="C72" s="146" t="str">
        <f t="shared" si="29"/>
        <v>NA</v>
      </c>
      <c r="D72" s="146" t="str">
        <f t="shared" si="29"/>
        <v>NA</v>
      </c>
      <c r="E72" s="146" t="str">
        <f t="shared" si="29"/>
        <v>NA</v>
      </c>
      <c r="F72" s="146" t="str">
        <f t="shared" ref="F72:N72" si="38">IF($B121 = "NA","NA",ROUNDUP(IF(F$13="Deploy",MAX((F$104/100)*$B121,$B121),(F$104/100)*$B121),0))</f>
        <v>NA</v>
      </c>
      <c r="G72" s="146" t="str">
        <f t="shared" si="38"/>
        <v>NA</v>
      </c>
      <c r="H72" s="146" t="str">
        <f t="shared" si="38"/>
        <v>NA</v>
      </c>
      <c r="I72" s="146" t="str">
        <f t="shared" si="38"/>
        <v>NA</v>
      </c>
      <c r="J72" s="146" t="str">
        <f t="shared" si="38"/>
        <v>NA</v>
      </c>
      <c r="K72" s="146" t="str">
        <f t="shared" si="38"/>
        <v>NA</v>
      </c>
      <c r="L72" s="146" t="str">
        <f t="shared" si="38"/>
        <v>NA</v>
      </c>
      <c r="M72" s="146" t="str">
        <f t="shared" si="38"/>
        <v>NA</v>
      </c>
      <c r="N72" s="146" t="str">
        <f t="shared" si="38"/>
        <v>NA</v>
      </c>
      <c r="AC72" s="28"/>
    </row>
    <row r="73" spans="1:29" x14ac:dyDescent="0.2">
      <c r="A73" s="374" t="str">
        <f t="shared" si="24"/>
        <v>≥ MIW Level 1 Pilots</v>
      </c>
      <c r="B73" s="146" t="str">
        <f t="shared" si="26"/>
        <v>NA</v>
      </c>
      <c r="C73" s="146" t="str">
        <f t="shared" si="29"/>
        <v>NA</v>
      </c>
      <c r="D73" s="146" t="str">
        <f t="shared" si="29"/>
        <v>NA</v>
      </c>
      <c r="E73" s="146" t="str">
        <f t="shared" si="29"/>
        <v>NA</v>
      </c>
      <c r="F73" s="146" t="str">
        <f t="shared" ref="F73:N73" si="39">IF($B122 = "NA","NA",ROUNDUP(IF(F$13="Deploy",MAX((F$104/100)*$B122,$B122),(F$104/100)*$B122),0))</f>
        <v>NA</v>
      </c>
      <c r="G73" s="146" t="str">
        <f t="shared" si="39"/>
        <v>NA</v>
      </c>
      <c r="H73" s="146" t="str">
        <f t="shared" si="39"/>
        <v>NA</v>
      </c>
      <c r="I73" s="146" t="str">
        <f t="shared" si="39"/>
        <v>NA</v>
      </c>
      <c r="J73" s="146" t="str">
        <f t="shared" si="39"/>
        <v>NA</v>
      </c>
      <c r="K73" s="146" t="str">
        <f t="shared" si="39"/>
        <v>NA</v>
      </c>
      <c r="L73" s="146" t="str">
        <f t="shared" si="39"/>
        <v>NA</v>
      </c>
      <c r="M73" s="146" t="str">
        <f t="shared" si="39"/>
        <v>NA</v>
      </c>
      <c r="N73" s="146" t="str">
        <f t="shared" si="39"/>
        <v>NA</v>
      </c>
      <c r="AC73" s="28"/>
    </row>
    <row r="74" spans="1:29" x14ac:dyDescent="0.2">
      <c r="A74" s="374" t="str">
        <f t="shared" si="24"/>
        <v>≥ TAC Level 4 Pilots</v>
      </c>
      <c r="B74" s="146" t="str">
        <f t="shared" si="26"/>
        <v>NA</v>
      </c>
      <c r="C74" s="146" t="str">
        <f t="shared" si="29"/>
        <v>NA</v>
      </c>
      <c r="D74" s="146" t="str">
        <f t="shared" si="29"/>
        <v>NA</v>
      </c>
      <c r="E74" s="146" t="str">
        <f t="shared" si="29"/>
        <v>NA</v>
      </c>
      <c r="F74" s="146" t="str">
        <f t="shared" ref="F74:N74" si="40">IF($B123 = "NA","NA",ROUNDUP(IF(F$13="Deploy",MAX((F$104/100)*$B123,$B123),(F$104/100)*$B123),0))</f>
        <v>NA</v>
      </c>
      <c r="G74" s="146" t="str">
        <f t="shared" si="40"/>
        <v>NA</v>
      </c>
      <c r="H74" s="146" t="str">
        <f t="shared" si="40"/>
        <v>NA</v>
      </c>
      <c r="I74" s="146" t="str">
        <f t="shared" si="40"/>
        <v>NA</v>
      </c>
      <c r="J74" s="146" t="str">
        <f t="shared" si="40"/>
        <v>NA</v>
      </c>
      <c r="K74" s="146" t="str">
        <f t="shared" si="40"/>
        <v>NA</v>
      </c>
      <c r="L74" s="146" t="str">
        <f t="shared" si="40"/>
        <v>NA</v>
      </c>
      <c r="M74" s="146" t="str">
        <f t="shared" si="40"/>
        <v>NA</v>
      </c>
      <c r="N74" s="146" t="str">
        <f t="shared" si="40"/>
        <v>NA</v>
      </c>
      <c r="AC74" s="28"/>
    </row>
    <row r="75" spans="1:29" x14ac:dyDescent="0.2">
      <c r="A75" s="374" t="str">
        <f t="shared" si="24"/>
        <v>≥ TAC Level 3 Pilots</v>
      </c>
      <c r="B75" s="146" t="str">
        <f t="shared" si="26"/>
        <v>NA</v>
      </c>
      <c r="C75" s="146" t="str">
        <f t="shared" si="29"/>
        <v>NA</v>
      </c>
      <c r="D75" s="146" t="str">
        <f t="shared" si="29"/>
        <v>NA</v>
      </c>
      <c r="E75" s="146" t="str">
        <f t="shared" si="29"/>
        <v>NA</v>
      </c>
      <c r="F75" s="146" t="str">
        <f t="shared" ref="F75:N75" si="41">IF($B124 = "NA","NA",ROUNDUP(IF(F$13="Deploy",MAX((F$104/100)*$B124,$B124),(F$104/100)*$B124),0))</f>
        <v>NA</v>
      </c>
      <c r="G75" s="146" t="str">
        <f t="shared" si="41"/>
        <v>NA</v>
      </c>
      <c r="H75" s="146" t="str">
        <f t="shared" si="41"/>
        <v>NA</v>
      </c>
      <c r="I75" s="146" t="str">
        <f t="shared" si="41"/>
        <v>NA</v>
      </c>
      <c r="J75" s="146" t="str">
        <f t="shared" si="41"/>
        <v>NA</v>
      </c>
      <c r="K75" s="146" t="str">
        <f t="shared" si="41"/>
        <v>NA</v>
      </c>
      <c r="L75" s="146" t="str">
        <f t="shared" si="41"/>
        <v>NA</v>
      </c>
      <c r="M75" s="146" t="str">
        <f t="shared" si="41"/>
        <v>NA</v>
      </c>
      <c r="N75" s="146" t="str">
        <f t="shared" si="41"/>
        <v>NA</v>
      </c>
      <c r="AC75" s="28"/>
    </row>
    <row r="76" spans="1:29" x14ac:dyDescent="0.2">
      <c r="A76" s="374" t="str">
        <f t="shared" si="24"/>
        <v>≥ TAC Level 2 Pilots</v>
      </c>
      <c r="B76" s="146" t="str">
        <f t="shared" si="26"/>
        <v>NA</v>
      </c>
      <c r="C76" s="146" t="str">
        <f t="shared" si="29"/>
        <v>NA</v>
      </c>
      <c r="D76" s="146" t="str">
        <f t="shared" si="29"/>
        <v>NA</v>
      </c>
      <c r="E76" s="146" t="str">
        <f t="shared" si="29"/>
        <v>NA</v>
      </c>
      <c r="F76" s="146" t="str">
        <f t="shared" ref="F76:N76" si="42">IF($B125 = "NA","NA",ROUNDUP(IF(F$13="Deploy",MAX((F$104/100)*$B125,$B125),(F$104/100)*$B125),0))</f>
        <v>NA</v>
      </c>
      <c r="G76" s="146" t="str">
        <f t="shared" si="42"/>
        <v>NA</v>
      </c>
      <c r="H76" s="146" t="str">
        <f t="shared" si="42"/>
        <v>NA</v>
      </c>
      <c r="I76" s="146" t="str">
        <f t="shared" si="42"/>
        <v>NA</v>
      </c>
      <c r="J76" s="146" t="str">
        <f t="shared" si="42"/>
        <v>NA</v>
      </c>
      <c r="K76" s="146" t="str">
        <f t="shared" si="42"/>
        <v>NA</v>
      </c>
      <c r="L76" s="146" t="str">
        <f t="shared" si="42"/>
        <v>NA</v>
      </c>
      <c r="M76" s="146" t="str">
        <f t="shared" si="42"/>
        <v>NA</v>
      </c>
      <c r="N76" s="146" t="str">
        <f t="shared" si="42"/>
        <v>NA</v>
      </c>
      <c r="AC76" s="28"/>
    </row>
    <row r="77" spans="1:29" x14ac:dyDescent="0.2">
      <c r="A77" s="374" t="str">
        <f t="shared" si="24"/>
        <v>Mountain Flying School Pilots</v>
      </c>
      <c r="B77" s="146" t="str">
        <f t="shared" si="26"/>
        <v>NA</v>
      </c>
      <c r="C77" s="146" t="str">
        <f t="shared" si="29"/>
        <v>NA</v>
      </c>
      <c r="D77" s="146" t="str">
        <f t="shared" si="29"/>
        <v>NA</v>
      </c>
      <c r="E77" s="146" t="str">
        <f t="shared" si="29"/>
        <v>NA</v>
      </c>
      <c r="F77" s="146" t="str">
        <f t="shared" ref="F77:N77" si="43">IF($B126 = "NA","NA",ROUNDUP(IF(F$13="Deploy",MAX((F$104/100)*$B126,$B126),(F$104/100)*$B126),0))</f>
        <v>NA</v>
      </c>
      <c r="G77" s="146" t="str">
        <f t="shared" si="43"/>
        <v>NA</v>
      </c>
      <c r="H77" s="146" t="str">
        <f t="shared" si="43"/>
        <v>NA</v>
      </c>
      <c r="I77" s="146" t="str">
        <f t="shared" si="43"/>
        <v>NA</v>
      </c>
      <c r="J77" s="146" t="str">
        <f t="shared" si="43"/>
        <v>NA</v>
      </c>
      <c r="K77" s="146" t="str">
        <f t="shared" si="43"/>
        <v>NA</v>
      </c>
      <c r="L77" s="146" t="str">
        <f t="shared" si="43"/>
        <v>NA</v>
      </c>
      <c r="M77" s="146" t="str">
        <f t="shared" si="43"/>
        <v>NA</v>
      </c>
      <c r="N77" s="146" t="str">
        <f t="shared" si="43"/>
        <v>NA</v>
      </c>
      <c r="AC77" s="28"/>
    </row>
    <row r="78" spans="1:29" x14ac:dyDescent="0.2">
      <c r="A78" s="374" t="str">
        <f t="shared" si="24"/>
        <v>Aircrew Upper Limit</v>
      </c>
      <c r="B78" s="146">
        <f>$B$127</f>
        <v>6</v>
      </c>
      <c r="C78" s="146">
        <f t="shared" ref="C78:N78" si="44">$B$127</f>
        <v>6</v>
      </c>
      <c r="D78" s="146">
        <f t="shared" si="44"/>
        <v>6</v>
      </c>
      <c r="E78" s="146">
        <f t="shared" si="44"/>
        <v>6</v>
      </c>
      <c r="F78" s="146">
        <f t="shared" si="44"/>
        <v>6</v>
      </c>
      <c r="G78" s="146">
        <f t="shared" si="44"/>
        <v>6</v>
      </c>
      <c r="H78" s="146">
        <f t="shared" si="44"/>
        <v>6</v>
      </c>
      <c r="I78" s="146">
        <f t="shared" si="44"/>
        <v>6</v>
      </c>
      <c r="J78" s="146">
        <f t="shared" si="44"/>
        <v>6</v>
      </c>
      <c r="K78" s="146">
        <f t="shared" si="44"/>
        <v>6</v>
      </c>
      <c r="L78" s="146">
        <f t="shared" si="44"/>
        <v>6</v>
      </c>
      <c r="M78" s="146">
        <f t="shared" si="44"/>
        <v>6</v>
      </c>
      <c r="N78" s="146">
        <f t="shared" si="44"/>
        <v>6</v>
      </c>
      <c r="AC78" s="28"/>
    </row>
    <row r="79" spans="1:29" x14ac:dyDescent="0.2">
      <c r="A79" s="374" t="str">
        <f t="shared" si="24"/>
        <v>Aircrew Lower Limit</v>
      </c>
      <c r="B79" s="146">
        <f t="shared" ref="B79:E92" si="45">IF($B128 = "NA","NA",ROUNDUP(IF(B$13="Deploy",MAX((B$104/100)*$B128,$B128),(B$104/100)*$B128),0))</f>
        <v>3</v>
      </c>
      <c r="C79" s="146">
        <f t="shared" si="45"/>
        <v>3</v>
      </c>
      <c r="D79" s="146">
        <f t="shared" si="45"/>
        <v>4</v>
      </c>
      <c r="E79" s="146">
        <f t="shared" si="45"/>
        <v>4</v>
      </c>
      <c r="F79" s="146">
        <f t="shared" ref="F79:N79" si="46">IF($B128 = "NA","NA",ROUNDUP(IF(F$13="Deploy",MAX((F$104/100)*$B128,$B128),(F$104/100)*$B128),0))</f>
        <v>5</v>
      </c>
      <c r="G79" s="146">
        <f t="shared" si="46"/>
        <v>5</v>
      </c>
      <c r="H79" s="146">
        <f t="shared" si="46"/>
        <v>6</v>
      </c>
      <c r="I79" s="146">
        <f t="shared" si="46"/>
        <v>6</v>
      </c>
      <c r="J79" s="146">
        <f t="shared" si="46"/>
        <v>6</v>
      </c>
      <c r="K79" s="146">
        <f t="shared" si="46"/>
        <v>6</v>
      </c>
      <c r="L79" s="146">
        <f t="shared" si="46"/>
        <v>6</v>
      </c>
      <c r="M79" s="146">
        <f t="shared" si="46"/>
        <v>6</v>
      </c>
      <c r="N79" s="146">
        <f t="shared" si="46"/>
        <v>2</v>
      </c>
      <c r="AC79" s="28"/>
    </row>
    <row r="80" spans="1:29" x14ac:dyDescent="0.2">
      <c r="A80" s="374" t="str">
        <f t="shared" si="24"/>
        <v>≥ Level 3 Aircrewmen</v>
      </c>
      <c r="B80" s="146">
        <f t="shared" si="45"/>
        <v>1</v>
      </c>
      <c r="C80" s="146">
        <f t="shared" si="45"/>
        <v>1</v>
      </c>
      <c r="D80" s="146">
        <f t="shared" si="45"/>
        <v>1</v>
      </c>
      <c r="E80" s="146">
        <f t="shared" si="45"/>
        <v>1</v>
      </c>
      <c r="F80" s="146">
        <f t="shared" ref="F80:N80" si="47">IF($B129 = "NA","NA",ROUNDUP(IF(F$13="Deploy",MAX((F$104/100)*$B129,$B129),(F$104/100)*$B129),0))</f>
        <v>1</v>
      </c>
      <c r="G80" s="146">
        <f t="shared" si="47"/>
        <v>1</v>
      </c>
      <c r="H80" s="146">
        <f t="shared" si="47"/>
        <v>1</v>
      </c>
      <c r="I80" s="146">
        <f t="shared" si="47"/>
        <v>1</v>
      </c>
      <c r="J80" s="146">
        <f t="shared" si="47"/>
        <v>1</v>
      </c>
      <c r="K80" s="146">
        <f t="shared" si="47"/>
        <v>1</v>
      </c>
      <c r="L80" s="146">
        <f t="shared" si="47"/>
        <v>1</v>
      </c>
      <c r="M80" s="146">
        <f t="shared" si="47"/>
        <v>1</v>
      </c>
      <c r="N80" s="146">
        <f t="shared" si="47"/>
        <v>1</v>
      </c>
      <c r="AC80" s="28"/>
    </row>
    <row r="81" spans="1:29" x14ac:dyDescent="0.2">
      <c r="A81" s="374" t="str">
        <f t="shared" si="24"/>
        <v>≥ Level 2 Aircrewmen</v>
      </c>
      <c r="B81" s="146">
        <f t="shared" si="45"/>
        <v>3</v>
      </c>
      <c r="C81" s="146">
        <f t="shared" si="45"/>
        <v>3</v>
      </c>
      <c r="D81" s="146">
        <f t="shared" si="45"/>
        <v>4</v>
      </c>
      <c r="E81" s="146">
        <f t="shared" si="45"/>
        <v>4</v>
      </c>
      <c r="F81" s="146">
        <f t="shared" ref="F81:N81" si="48">IF($B130 = "NA","NA",ROUNDUP(IF(F$13="Deploy",MAX((F$104/100)*$B130,$B130),(F$104/100)*$B130),0))</f>
        <v>5</v>
      </c>
      <c r="G81" s="146">
        <f t="shared" si="48"/>
        <v>5</v>
      </c>
      <c r="H81" s="146">
        <f t="shared" si="48"/>
        <v>6</v>
      </c>
      <c r="I81" s="146">
        <f t="shared" si="48"/>
        <v>6</v>
      </c>
      <c r="J81" s="146">
        <f t="shared" si="48"/>
        <v>6</v>
      </c>
      <c r="K81" s="146">
        <f t="shared" si="48"/>
        <v>6</v>
      </c>
      <c r="L81" s="146">
        <f t="shared" si="48"/>
        <v>6</v>
      </c>
      <c r="M81" s="146">
        <f t="shared" si="48"/>
        <v>6</v>
      </c>
      <c r="N81" s="146">
        <f t="shared" si="48"/>
        <v>2</v>
      </c>
      <c r="AC81" s="28"/>
    </row>
    <row r="82" spans="1:29" x14ac:dyDescent="0.2">
      <c r="A82" s="374" t="str">
        <f t="shared" si="24"/>
        <v>≥ Level 1 Aircrewmen</v>
      </c>
      <c r="B82" s="146">
        <f t="shared" si="45"/>
        <v>3</v>
      </c>
      <c r="C82" s="146">
        <f t="shared" si="45"/>
        <v>3</v>
      </c>
      <c r="D82" s="146">
        <f t="shared" si="45"/>
        <v>4</v>
      </c>
      <c r="E82" s="146">
        <f t="shared" si="45"/>
        <v>4</v>
      </c>
      <c r="F82" s="146">
        <f t="shared" ref="F82:N82" si="49">IF($B131 = "NA","NA",ROUNDUP(IF(F$13="Deploy",MAX((F$104/100)*$B131,$B131),(F$104/100)*$B131),0))</f>
        <v>5</v>
      </c>
      <c r="G82" s="146">
        <f t="shared" si="49"/>
        <v>5</v>
      </c>
      <c r="H82" s="146">
        <f t="shared" si="49"/>
        <v>6</v>
      </c>
      <c r="I82" s="146">
        <f t="shared" si="49"/>
        <v>6</v>
      </c>
      <c r="J82" s="146">
        <f t="shared" si="49"/>
        <v>6</v>
      </c>
      <c r="K82" s="146">
        <f t="shared" si="49"/>
        <v>6</v>
      </c>
      <c r="L82" s="146">
        <f t="shared" si="49"/>
        <v>6</v>
      </c>
      <c r="M82" s="146">
        <f t="shared" si="49"/>
        <v>6</v>
      </c>
      <c r="N82" s="146">
        <f t="shared" si="49"/>
        <v>2</v>
      </c>
      <c r="AC82" s="28"/>
    </row>
    <row r="83" spans="1:29" x14ac:dyDescent="0.2">
      <c r="A83" s="374" t="str">
        <f t="shared" si="24"/>
        <v>≥ PR/SOF 3 Aircrewmen</v>
      </c>
      <c r="B83" s="146" t="str">
        <f t="shared" si="45"/>
        <v>NA</v>
      </c>
      <c r="C83" s="146" t="str">
        <f t="shared" si="45"/>
        <v>NA</v>
      </c>
      <c r="D83" s="146" t="str">
        <f t="shared" si="45"/>
        <v>NA</v>
      </c>
      <c r="E83" s="146" t="str">
        <f t="shared" si="45"/>
        <v>NA</v>
      </c>
      <c r="F83" s="146" t="str">
        <f t="shared" ref="F83:N83" si="50">IF($B132 = "NA","NA",ROUNDUP(IF(F$13="Deploy",MAX((F$104/100)*$B132,$B132),(F$104/100)*$B132),0))</f>
        <v>NA</v>
      </c>
      <c r="G83" s="146" t="str">
        <f t="shared" si="50"/>
        <v>NA</v>
      </c>
      <c r="H83" s="146" t="str">
        <f t="shared" si="50"/>
        <v>NA</v>
      </c>
      <c r="I83" s="146" t="str">
        <f t="shared" si="50"/>
        <v>NA</v>
      </c>
      <c r="J83" s="146" t="str">
        <f t="shared" si="50"/>
        <v>NA</v>
      </c>
      <c r="K83" s="146" t="str">
        <f t="shared" si="50"/>
        <v>NA</v>
      </c>
      <c r="L83" s="146" t="str">
        <f t="shared" si="50"/>
        <v>NA</v>
      </c>
      <c r="M83" s="146" t="str">
        <f t="shared" si="50"/>
        <v>NA</v>
      </c>
      <c r="N83" s="146" t="str">
        <f t="shared" si="50"/>
        <v>NA</v>
      </c>
      <c r="AC83" s="28"/>
    </row>
    <row r="84" spans="1:29" x14ac:dyDescent="0.2">
      <c r="A84" s="374" t="str">
        <f t="shared" si="24"/>
        <v>≥ MIW Level 2 Aircrewmen</v>
      </c>
      <c r="B84" s="146" t="str">
        <f t="shared" si="45"/>
        <v>NA</v>
      </c>
      <c r="C84" s="146" t="str">
        <f t="shared" si="45"/>
        <v>NA</v>
      </c>
      <c r="D84" s="146" t="str">
        <f t="shared" si="45"/>
        <v>NA</v>
      </c>
      <c r="E84" s="146" t="str">
        <f t="shared" si="45"/>
        <v>NA</v>
      </c>
      <c r="F84" s="146" t="str">
        <f t="shared" ref="F84:N84" si="51">IF($B133 = "NA","NA",ROUNDUP(IF(F$13="Deploy",MAX((F$104/100)*$B133,$B133),(F$104/100)*$B133),0))</f>
        <v>NA</v>
      </c>
      <c r="G84" s="146" t="str">
        <f t="shared" si="51"/>
        <v>NA</v>
      </c>
      <c r="H84" s="146" t="str">
        <f t="shared" si="51"/>
        <v>NA</v>
      </c>
      <c r="I84" s="146" t="str">
        <f t="shared" si="51"/>
        <v>NA</v>
      </c>
      <c r="J84" s="146" t="str">
        <f t="shared" si="51"/>
        <v>NA</v>
      </c>
      <c r="K84" s="146" t="str">
        <f t="shared" si="51"/>
        <v>NA</v>
      </c>
      <c r="L84" s="146" t="str">
        <f t="shared" si="51"/>
        <v>NA</v>
      </c>
      <c r="M84" s="146" t="str">
        <f t="shared" si="51"/>
        <v>NA</v>
      </c>
      <c r="N84" s="146" t="str">
        <f t="shared" si="51"/>
        <v>NA</v>
      </c>
      <c r="AC84" s="28"/>
    </row>
    <row r="85" spans="1:29" x14ac:dyDescent="0.2">
      <c r="A85" s="374" t="str">
        <f t="shared" si="24"/>
        <v>≥ MIW Level 1 Aircrewmen</v>
      </c>
      <c r="B85" s="146" t="str">
        <f t="shared" si="45"/>
        <v>NA</v>
      </c>
      <c r="C85" s="146" t="str">
        <f t="shared" si="45"/>
        <v>NA</v>
      </c>
      <c r="D85" s="146" t="str">
        <f t="shared" si="45"/>
        <v>NA</v>
      </c>
      <c r="E85" s="146" t="str">
        <f t="shared" si="45"/>
        <v>NA</v>
      </c>
      <c r="F85" s="146" t="str">
        <f t="shared" ref="F85:N85" si="52">IF($B134 = "NA","NA",ROUNDUP(IF(F$13="Deploy",MAX((F$104/100)*$B134,$B134),(F$104/100)*$B134),0))</f>
        <v>NA</v>
      </c>
      <c r="G85" s="146" t="str">
        <f t="shared" si="52"/>
        <v>NA</v>
      </c>
      <c r="H85" s="146" t="str">
        <f t="shared" si="52"/>
        <v>NA</v>
      </c>
      <c r="I85" s="146" t="str">
        <f t="shared" si="52"/>
        <v>NA</v>
      </c>
      <c r="J85" s="146" t="str">
        <f t="shared" si="52"/>
        <v>NA</v>
      </c>
      <c r="K85" s="146" t="str">
        <f t="shared" si="52"/>
        <v>NA</v>
      </c>
      <c r="L85" s="146" t="str">
        <f t="shared" si="52"/>
        <v>NA</v>
      </c>
      <c r="M85" s="146" t="str">
        <f t="shared" si="52"/>
        <v>NA</v>
      </c>
      <c r="N85" s="146" t="str">
        <f t="shared" si="52"/>
        <v>NA</v>
      </c>
      <c r="AC85" s="28"/>
    </row>
    <row r="86" spans="1:29" x14ac:dyDescent="0.2">
      <c r="A86" s="374" t="str">
        <f t="shared" si="24"/>
        <v>≥ TAC Level 3 Aircrewmen</v>
      </c>
      <c r="B86" s="146" t="str">
        <f t="shared" si="45"/>
        <v>NA</v>
      </c>
      <c r="C86" s="146" t="str">
        <f t="shared" si="45"/>
        <v>NA</v>
      </c>
      <c r="D86" s="146" t="str">
        <f t="shared" si="45"/>
        <v>NA</v>
      </c>
      <c r="E86" s="146" t="str">
        <f t="shared" si="45"/>
        <v>NA</v>
      </c>
      <c r="F86" s="146" t="str">
        <f t="shared" ref="F86:N86" si="53">IF($B135 = "NA","NA",ROUNDUP(IF(F$13="Deploy",MAX((F$104/100)*$B135,$B135),(F$104/100)*$B135),0))</f>
        <v>NA</v>
      </c>
      <c r="G86" s="146" t="str">
        <f t="shared" si="53"/>
        <v>NA</v>
      </c>
      <c r="H86" s="146" t="str">
        <f t="shared" si="53"/>
        <v>NA</v>
      </c>
      <c r="I86" s="146" t="str">
        <f t="shared" si="53"/>
        <v>NA</v>
      </c>
      <c r="J86" s="146" t="str">
        <f t="shared" si="53"/>
        <v>NA</v>
      </c>
      <c r="K86" s="146" t="str">
        <f t="shared" si="53"/>
        <v>NA</v>
      </c>
      <c r="L86" s="146" t="str">
        <f t="shared" si="53"/>
        <v>NA</v>
      </c>
      <c r="M86" s="146" t="str">
        <f t="shared" si="53"/>
        <v>NA</v>
      </c>
      <c r="N86" s="146" t="str">
        <f t="shared" si="53"/>
        <v>NA</v>
      </c>
      <c r="AC86" s="28"/>
    </row>
    <row r="87" spans="1:29" x14ac:dyDescent="0.2">
      <c r="A87" s="374" t="str">
        <f t="shared" si="24"/>
        <v>≥ TAC Level 2 Aircrewmen</v>
      </c>
      <c r="B87" s="146" t="str">
        <f t="shared" si="45"/>
        <v>NA</v>
      </c>
      <c r="C87" s="146" t="str">
        <f t="shared" si="45"/>
        <v>NA</v>
      </c>
      <c r="D87" s="146" t="str">
        <f t="shared" si="45"/>
        <v>NA</v>
      </c>
      <c r="E87" s="146" t="str">
        <f t="shared" si="45"/>
        <v>NA</v>
      </c>
      <c r="F87" s="146" t="str">
        <f t="shared" ref="F87:N87" si="54">IF($B136 = "NA","NA",ROUNDUP(IF(F$13="Deploy",MAX((F$104/100)*$B136,$B136),(F$104/100)*$B136),0))</f>
        <v>NA</v>
      </c>
      <c r="G87" s="146" t="str">
        <f t="shared" si="54"/>
        <v>NA</v>
      </c>
      <c r="H87" s="146" t="str">
        <f t="shared" si="54"/>
        <v>NA</v>
      </c>
      <c r="I87" s="146" t="str">
        <f t="shared" si="54"/>
        <v>NA</v>
      </c>
      <c r="J87" s="146" t="str">
        <f t="shared" si="54"/>
        <v>NA</v>
      </c>
      <c r="K87" s="146" t="str">
        <f t="shared" si="54"/>
        <v>NA</v>
      </c>
      <c r="L87" s="146" t="str">
        <f t="shared" si="54"/>
        <v>NA</v>
      </c>
      <c r="M87" s="146" t="str">
        <f t="shared" si="54"/>
        <v>NA</v>
      </c>
      <c r="N87" s="146" t="str">
        <f t="shared" si="54"/>
        <v>NA</v>
      </c>
      <c r="AC87" s="28"/>
    </row>
    <row r="88" spans="1:29" x14ac:dyDescent="0.2">
      <c r="A88" s="374" t="str">
        <f t="shared" si="24"/>
        <v>Aerial Gunnery Instructor (AGI) Aircrewmen</v>
      </c>
      <c r="B88" s="146" t="str">
        <f t="shared" si="45"/>
        <v>NA</v>
      </c>
      <c r="C88" s="146" t="str">
        <f t="shared" si="45"/>
        <v>NA</v>
      </c>
      <c r="D88" s="146" t="str">
        <f t="shared" si="45"/>
        <v>NA</v>
      </c>
      <c r="E88" s="146" t="str">
        <f t="shared" si="45"/>
        <v>NA</v>
      </c>
      <c r="F88" s="146" t="str">
        <f t="shared" ref="F88:N88" si="55">IF($B137 = "NA","NA",ROUNDUP(IF(F$13="Deploy",MAX((F$104/100)*$B137,$B137),(F$104/100)*$B137),0))</f>
        <v>NA</v>
      </c>
      <c r="G88" s="146" t="str">
        <f t="shared" si="55"/>
        <v>NA</v>
      </c>
      <c r="H88" s="146" t="str">
        <f t="shared" si="55"/>
        <v>NA</v>
      </c>
      <c r="I88" s="146" t="str">
        <f t="shared" si="55"/>
        <v>NA</v>
      </c>
      <c r="J88" s="146" t="str">
        <f t="shared" si="55"/>
        <v>NA</v>
      </c>
      <c r="K88" s="146" t="str">
        <f t="shared" si="55"/>
        <v>NA</v>
      </c>
      <c r="L88" s="146" t="str">
        <f t="shared" si="55"/>
        <v>NA</v>
      </c>
      <c r="M88" s="146" t="str">
        <f t="shared" si="55"/>
        <v>NA</v>
      </c>
      <c r="N88" s="146" t="str">
        <f t="shared" si="55"/>
        <v>NA</v>
      </c>
      <c r="AC88" s="28"/>
    </row>
    <row r="89" spans="1:29" x14ac:dyDescent="0.2">
      <c r="A89" s="374" t="str">
        <f t="shared" si="24"/>
        <v>Aerial Gunner (AG) Aircrewmen</v>
      </c>
      <c r="B89" s="146">
        <f t="shared" si="45"/>
        <v>3</v>
      </c>
      <c r="C89" s="146">
        <f t="shared" si="45"/>
        <v>3</v>
      </c>
      <c r="D89" s="146">
        <f t="shared" si="45"/>
        <v>4</v>
      </c>
      <c r="E89" s="146">
        <f t="shared" si="45"/>
        <v>4</v>
      </c>
      <c r="F89" s="146">
        <f t="shared" ref="F89:N89" si="56">IF($B138 = "NA","NA",ROUNDUP(IF(F$13="Deploy",MAX((F$104/100)*$B138,$B138),(F$104/100)*$B138),0))</f>
        <v>5</v>
      </c>
      <c r="G89" s="146">
        <f t="shared" si="56"/>
        <v>5</v>
      </c>
      <c r="H89" s="146">
        <f t="shared" si="56"/>
        <v>6</v>
      </c>
      <c r="I89" s="146">
        <f t="shared" si="56"/>
        <v>6</v>
      </c>
      <c r="J89" s="146">
        <f t="shared" si="56"/>
        <v>6</v>
      </c>
      <c r="K89" s="146">
        <f t="shared" si="56"/>
        <v>6</v>
      </c>
      <c r="L89" s="146">
        <f t="shared" si="56"/>
        <v>6</v>
      </c>
      <c r="M89" s="146">
        <f t="shared" si="56"/>
        <v>6</v>
      </c>
      <c r="N89" s="146">
        <f t="shared" si="56"/>
        <v>2</v>
      </c>
      <c r="AC89" s="28"/>
    </row>
    <row r="90" spans="1:29" x14ac:dyDescent="0.2">
      <c r="A90" s="374" t="str">
        <f t="shared" si="24"/>
        <v>Mountain Flying School Aircrewmen</v>
      </c>
      <c r="B90" s="146" t="str">
        <f t="shared" si="45"/>
        <v>NA</v>
      </c>
      <c r="C90" s="146" t="str">
        <f t="shared" si="45"/>
        <v>NA</v>
      </c>
      <c r="D90" s="146" t="str">
        <f t="shared" si="45"/>
        <v>NA</v>
      </c>
      <c r="E90" s="146" t="str">
        <f t="shared" si="45"/>
        <v>NA</v>
      </c>
      <c r="F90" s="146" t="str">
        <f t="shared" ref="F90:N90" si="57">IF($B139 = "NA","NA",ROUNDUP(IF(F$13="Deploy",MAX((F$104/100)*$B139,$B139),(F$104/100)*$B139),0))</f>
        <v>NA</v>
      </c>
      <c r="G90" s="146" t="str">
        <f t="shared" si="57"/>
        <v>NA</v>
      </c>
      <c r="H90" s="146" t="str">
        <f t="shared" si="57"/>
        <v>NA</v>
      </c>
      <c r="I90" s="146" t="str">
        <f t="shared" si="57"/>
        <v>NA</v>
      </c>
      <c r="J90" s="146" t="str">
        <f t="shared" si="57"/>
        <v>NA</v>
      </c>
      <c r="K90" s="146" t="str">
        <f t="shared" si="57"/>
        <v>NA</v>
      </c>
      <c r="L90" s="146" t="str">
        <f t="shared" si="57"/>
        <v>NA</v>
      </c>
      <c r="M90" s="146" t="str">
        <f t="shared" si="57"/>
        <v>NA</v>
      </c>
      <c r="N90" s="146" t="str">
        <f t="shared" si="57"/>
        <v>NA</v>
      </c>
      <c r="AC90" s="28"/>
    </row>
    <row r="91" spans="1:29" x14ac:dyDescent="0.2">
      <c r="A91" s="374" t="str">
        <f t="shared" si="24"/>
        <v>≥ HM (Paramedic) Aircrewmen</v>
      </c>
      <c r="B91" s="146" t="str">
        <f t="shared" si="45"/>
        <v>NA</v>
      </c>
      <c r="C91" s="146" t="str">
        <f t="shared" si="45"/>
        <v>NA</v>
      </c>
      <c r="D91" s="146" t="str">
        <f t="shared" si="45"/>
        <v>NA</v>
      </c>
      <c r="E91" s="146" t="str">
        <f t="shared" si="45"/>
        <v>NA</v>
      </c>
      <c r="F91" s="146" t="str">
        <f t="shared" ref="F91:N91" si="58">IF($B140 = "NA","NA",ROUNDUP(IF(F$13="Deploy",MAX((F$104/100)*$B140,$B140),(F$104/100)*$B140),0))</f>
        <v>NA</v>
      </c>
      <c r="G91" s="146" t="str">
        <f t="shared" si="58"/>
        <v>NA</v>
      </c>
      <c r="H91" s="146" t="str">
        <f t="shared" si="58"/>
        <v>NA</v>
      </c>
      <c r="I91" s="146" t="str">
        <f t="shared" si="58"/>
        <v>NA</v>
      </c>
      <c r="J91" s="146" t="str">
        <f t="shared" si="58"/>
        <v>NA</v>
      </c>
      <c r="K91" s="146" t="str">
        <f t="shared" si="58"/>
        <v>NA</v>
      </c>
      <c r="L91" s="146" t="str">
        <f t="shared" si="58"/>
        <v>NA</v>
      </c>
      <c r="M91" s="146" t="str">
        <f t="shared" si="58"/>
        <v>NA</v>
      </c>
      <c r="N91" s="146" t="str">
        <f t="shared" si="58"/>
        <v>NA</v>
      </c>
      <c r="AC91" s="28"/>
    </row>
    <row r="92" spans="1:29" x14ac:dyDescent="0.2">
      <c r="A92" s="374" t="str">
        <f t="shared" si="24"/>
        <v>Required Skilled Crews</v>
      </c>
      <c r="B92" s="146">
        <f t="shared" si="45"/>
        <v>2</v>
      </c>
      <c r="C92" s="146">
        <f t="shared" si="45"/>
        <v>2</v>
      </c>
      <c r="D92" s="146">
        <f t="shared" si="45"/>
        <v>2</v>
      </c>
      <c r="E92" s="146">
        <f t="shared" si="45"/>
        <v>2</v>
      </c>
      <c r="F92" s="146">
        <f t="shared" ref="F92:N92" si="59">IF($B141 = "NA","NA",ROUNDUP(IF(F$13="Deploy",MAX((F$104/100)*$B141,$B141),(F$104/100)*$B141),0))</f>
        <v>3</v>
      </c>
      <c r="G92" s="146">
        <f t="shared" si="59"/>
        <v>3</v>
      </c>
      <c r="H92" s="146">
        <f t="shared" si="59"/>
        <v>3</v>
      </c>
      <c r="I92" s="146">
        <f t="shared" si="59"/>
        <v>3</v>
      </c>
      <c r="J92" s="146">
        <f t="shared" si="59"/>
        <v>3</v>
      </c>
      <c r="K92" s="146">
        <f t="shared" si="59"/>
        <v>3</v>
      </c>
      <c r="L92" s="146">
        <f t="shared" si="59"/>
        <v>3</v>
      </c>
      <c r="M92" s="146">
        <f t="shared" si="59"/>
        <v>3</v>
      </c>
      <c r="N92" s="146">
        <f t="shared" si="59"/>
        <v>1</v>
      </c>
      <c r="AC92" s="28"/>
    </row>
    <row r="93" spans="1:29" ht="12" x14ac:dyDescent="0.2">
      <c r="B93" s="68"/>
      <c r="C93" s="68"/>
      <c r="AC93" s="28"/>
    </row>
    <row r="94" spans="1:29" ht="12" x14ac:dyDescent="0.2">
      <c r="B94" s="68"/>
      <c r="C94" s="68"/>
      <c r="AC94" s="28"/>
    </row>
    <row r="95" spans="1:29" ht="12" x14ac:dyDescent="0.2">
      <c r="B95" s="68"/>
      <c r="C95" s="68"/>
      <c r="AC95" s="28"/>
    </row>
    <row r="96" spans="1:29" ht="12" x14ac:dyDescent="0.2">
      <c r="B96" s="68"/>
      <c r="C96" s="68"/>
      <c r="AC96" s="28"/>
    </row>
    <row r="97" spans="1:29" thickBot="1" x14ac:dyDescent="0.25">
      <c r="B97" s="68"/>
      <c r="C97" s="68"/>
      <c r="AC97" s="28"/>
    </row>
    <row r="98" spans="1:29" ht="12.75" customHeight="1" thickBot="1" x14ac:dyDescent="0.25">
      <c r="A98" s="789" t="s">
        <v>170</v>
      </c>
      <c r="B98" s="790"/>
      <c r="C98" s="790"/>
      <c r="D98" s="790"/>
      <c r="E98" s="790"/>
      <c r="F98" s="790"/>
      <c r="G98" s="790"/>
      <c r="H98" s="790"/>
      <c r="I98" s="790"/>
      <c r="J98" s="790"/>
      <c r="K98" s="790"/>
      <c r="L98" s="790"/>
      <c r="M98" s="790"/>
      <c r="N98" s="791"/>
      <c r="AC98" s="28"/>
    </row>
    <row r="99" spans="1:29" ht="12" x14ac:dyDescent="0.2">
      <c r="A99" s="111" t="s">
        <v>171</v>
      </c>
      <c r="B99" s="112">
        <f>MIN(100,B101+$B105)</f>
        <v>42.239838285840548</v>
      </c>
      <c r="C99" s="112">
        <f t="shared" ref="C99:M99" si="60">MIN(100,C101+$B105)</f>
        <v>42.239838285840548</v>
      </c>
      <c r="D99" s="112">
        <f t="shared" si="60"/>
        <v>57.239838285840548</v>
      </c>
      <c r="E99" s="112">
        <f t="shared" si="60"/>
        <v>97.239838285840548</v>
      </c>
      <c r="F99" s="112">
        <f t="shared" si="60"/>
        <v>100</v>
      </c>
      <c r="G99" s="112">
        <f t="shared" si="60"/>
        <v>100</v>
      </c>
      <c r="H99" s="112">
        <f t="shared" si="60"/>
        <v>100</v>
      </c>
      <c r="I99" s="112">
        <f t="shared" si="60"/>
        <v>100</v>
      </c>
      <c r="J99" s="112">
        <f t="shared" si="60"/>
        <v>100</v>
      </c>
      <c r="K99" s="112">
        <f t="shared" si="60"/>
        <v>100</v>
      </c>
      <c r="L99" s="112">
        <f t="shared" si="60"/>
        <v>100</v>
      </c>
      <c r="M99" s="167">
        <f t="shared" si="60"/>
        <v>100</v>
      </c>
      <c r="N99" s="171">
        <f>MIN(100,N101+$B105)</f>
        <v>67.239838285840548</v>
      </c>
      <c r="AC99" s="28"/>
    </row>
    <row r="100" spans="1:29" ht="12" x14ac:dyDescent="0.2">
      <c r="A100" s="54" t="s">
        <v>172</v>
      </c>
      <c r="B100" s="55">
        <f>MIN(100,B101+$B106)</f>
        <v>23.619919142920274</v>
      </c>
      <c r="C100" s="55">
        <f t="shared" ref="C100:M100" si="61">MIN(100,C101+$B106)</f>
        <v>23.619919142920274</v>
      </c>
      <c r="D100" s="55">
        <f t="shared" si="61"/>
        <v>38.619919142920274</v>
      </c>
      <c r="E100" s="55">
        <f t="shared" si="61"/>
        <v>78.619919142920281</v>
      </c>
      <c r="F100" s="55">
        <f t="shared" si="61"/>
        <v>98.619919142920281</v>
      </c>
      <c r="G100" s="55">
        <f t="shared" si="61"/>
        <v>98.619919142920281</v>
      </c>
      <c r="H100" s="55">
        <f t="shared" si="61"/>
        <v>100</v>
      </c>
      <c r="I100" s="55">
        <f t="shared" si="61"/>
        <v>100</v>
      </c>
      <c r="J100" s="55">
        <f t="shared" si="61"/>
        <v>100</v>
      </c>
      <c r="K100" s="55">
        <f t="shared" si="61"/>
        <v>100</v>
      </c>
      <c r="L100" s="55">
        <f t="shared" si="61"/>
        <v>100</v>
      </c>
      <c r="M100" s="168">
        <f t="shared" si="61"/>
        <v>100</v>
      </c>
      <c r="N100" s="172">
        <f>MIN(100,N101+$B106)</f>
        <v>48.619919142920274</v>
      </c>
      <c r="AC100" s="28"/>
    </row>
    <row r="101" spans="1:29" ht="12" x14ac:dyDescent="0.2">
      <c r="A101" s="54" t="s">
        <v>173</v>
      </c>
      <c r="B101" s="69">
        <v>5</v>
      </c>
      <c r="C101" s="69">
        <v>5</v>
      </c>
      <c r="D101" s="69">
        <v>20</v>
      </c>
      <c r="E101" s="69">
        <v>60</v>
      </c>
      <c r="F101" s="69">
        <v>80</v>
      </c>
      <c r="G101" s="69">
        <v>80</v>
      </c>
      <c r="H101" s="69">
        <v>100</v>
      </c>
      <c r="I101" s="69">
        <v>100</v>
      </c>
      <c r="J101" s="69">
        <v>100</v>
      </c>
      <c r="K101" s="69">
        <v>100</v>
      </c>
      <c r="L101" s="69">
        <v>100</v>
      </c>
      <c r="M101" s="169">
        <v>100</v>
      </c>
      <c r="N101" s="173">
        <v>30</v>
      </c>
      <c r="O101" s="100"/>
      <c r="AC101" s="28"/>
    </row>
    <row r="102" spans="1:29" s="72" customFormat="1" ht="12" x14ac:dyDescent="0.2">
      <c r="A102" s="54" t="s">
        <v>174</v>
      </c>
      <c r="B102" s="55">
        <f>MIN(80,IF(B$13="Deploy",80,MAX(0,B101-$B106)))</f>
        <v>0</v>
      </c>
      <c r="C102" s="55">
        <f t="shared" ref="C102:M102" si="62">MIN(80,IF(C$13="Deploy",80,MAX(0,C101-$B106)))</f>
        <v>0</v>
      </c>
      <c r="D102" s="55">
        <f t="shared" si="62"/>
        <v>1.3800808570797258</v>
      </c>
      <c r="E102" s="55">
        <f t="shared" si="62"/>
        <v>41.380080857079726</v>
      </c>
      <c r="F102" s="55">
        <f t="shared" si="62"/>
        <v>61.380080857079726</v>
      </c>
      <c r="G102" s="55">
        <f t="shared" si="62"/>
        <v>61.380080857079726</v>
      </c>
      <c r="H102" s="55">
        <f t="shared" si="62"/>
        <v>80</v>
      </c>
      <c r="I102" s="55">
        <f t="shared" si="62"/>
        <v>80</v>
      </c>
      <c r="J102" s="55">
        <f t="shared" si="62"/>
        <v>80</v>
      </c>
      <c r="K102" s="55">
        <f t="shared" si="62"/>
        <v>80</v>
      </c>
      <c r="L102" s="55">
        <f t="shared" si="62"/>
        <v>80</v>
      </c>
      <c r="M102" s="168">
        <f t="shared" si="62"/>
        <v>80</v>
      </c>
      <c r="N102" s="172">
        <f>MIN(80,IF(N$13="Deploy",80,MAX(0,N101-$B106)))</f>
        <v>11.380080857079726</v>
      </c>
      <c r="O102" s="28"/>
      <c r="P102" s="28"/>
      <c r="Q102" s="28"/>
      <c r="R102" s="28"/>
      <c r="S102" s="28"/>
      <c r="T102" s="28"/>
      <c r="U102" s="28"/>
      <c r="V102" s="28"/>
    </row>
    <row r="103" spans="1:29" s="72" customFormat="1" thickBot="1" x14ac:dyDescent="0.25">
      <c r="A103" s="57" t="s">
        <v>175</v>
      </c>
      <c r="B103" s="58">
        <f>MIN(60,IF(B$13="Deploy",60,MAX(0,B101-$B105)))</f>
        <v>0</v>
      </c>
      <c r="C103" s="58">
        <f t="shared" ref="C103:M103" si="63">MIN(60,IF(C$13="Deploy",60,MAX(0,C101-$B105)))</f>
        <v>0</v>
      </c>
      <c r="D103" s="58">
        <f t="shared" si="63"/>
        <v>0</v>
      </c>
      <c r="E103" s="58">
        <f t="shared" si="63"/>
        <v>22.760161714159452</v>
      </c>
      <c r="F103" s="58">
        <f t="shared" si="63"/>
        <v>42.760161714159452</v>
      </c>
      <c r="G103" s="58">
        <f t="shared" si="63"/>
        <v>42.760161714159452</v>
      </c>
      <c r="H103" s="58">
        <f t="shared" si="63"/>
        <v>60</v>
      </c>
      <c r="I103" s="58">
        <f t="shared" si="63"/>
        <v>60</v>
      </c>
      <c r="J103" s="58">
        <f t="shared" si="63"/>
        <v>60</v>
      </c>
      <c r="K103" s="58">
        <f t="shared" si="63"/>
        <v>60</v>
      </c>
      <c r="L103" s="58">
        <f t="shared" si="63"/>
        <v>60</v>
      </c>
      <c r="M103" s="170">
        <f t="shared" si="63"/>
        <v>60</v>
      </c>
      <c r="N103" s="174">
        <f>MIN(80,IF(N$13="Deploy",60,MAX(0,N101-$B105)))</f>
        <v>0</v>
      </c>
      <c r="O103" s="28"/>
      <c r="P103" s="28"/>
      <c r="Q103" s="28"/>
      <c r="R103" s="28"/>
      <c r="S103" s="28"/>
      <c r="T103" s="28"/>
      <c r="U103" s="28"/>
      <c r="V103" s="28"/>
    </row>
    <row r="104" spans="1:29" s="72" customFormat="1" thickBot="1" x14ac:dyDescent="0.25">
      <c r="A104" s="219" t="s">
        <v>176</v>
      </c>
      <c r="B104" s="220">
        <v>37</v>
      </c>
      <c r="C104" s="220">
        <v>46</v>
      </c>
      <c r="D104" s="220">
        <v>54</v>
      </c>
      <c r="E104" s="220">
        <v>61</v>
      </c>
      <c r="F104" s="220">
        <v>80</v>
      </c>
      <c r="G104" s="220">
        <v>80</v>
      </c>
      <c r="H104" s="220">
        <v>100</v>
      </c>
      <c r="I104" s="220">
        <v>100</v>
      </c>
      <c r="J104" s="220">
        <v>100</v>
      </c>
      <c r="K104" s="220">
        <v>100</v>
      </c>
      <c r="L104" s="220">
        <v>100</v>
      </c>
      <c r="M104" s="221">
        <v>100</v>
      </c>
      <c r="N104" s="222">
        <v>30</v>
      </c>
      <c r="O104" s="28"/>
      <c r="P104" s="28"/>
      <c r="Q104" s="28"/>
      <c r="R104" s="28"/>
      <c r="S104" s="28"/>
      <c r="T104" s="28"/>
      <c r="U104" s="28"/>
      <c r="V104" s="28"/>
    </row>
    <row r="105" spans="1:29" s="72" customFormat="1" ht="12" x14ac:dyDescent="0.2">
      <c r="A105" s="78" t="s">
        <v>177</v>
      </c>
      <c r="B105" s="79">
        <f t="array" ref="B105">SQRT(SUM(POWER(AVERAGE(B101:M101)-(B101:M101),2))/COUNT(B101:M101))*1</f>
        <v>37.239838285840548</v>
      </c>
      <c r="C105" s="28"/>
      <c r="D105" s="28"/>
      <c r="E105" s="28"/>
      <c r="F105" s="28"/>
      <c r="G105" s="28"/>
      <c r="H105" s="28"/>
      <c r="I105" s="28"/>
      <c r="J105" s="28"/>
      <c r="K105" s="28"/>
      <c r="L105" s="28"/>
      <c r="M105" s="28"/>
      <c r="N105" s="28"/>
    </row>
    <row r="106" spans="1:29" s="72" customFormat="1" thickBot="1" x14ac:dyDescent="0.25">
      <c r="A106" s="80" t="s">
        <v>178</v>
      </c>
      <c r="B106" s="81">
        <f>B105/2</f>
        <v>18.619919142920274</v>
      </c>
      <c r="C106" s="28"/>
      <c r="D106" s="28"/>
      <c r="E106" s="28"/>
      <c r="F106" s="28"/>
      <c r="G106" s="28"/>
      <c r="H106" s="28"/>
      <c r="I106" s="28"/>
      <c r="J106" s="28"/>
      <c r="K106" s="28"/>
      <c r="L106" s="28"/>
      <c r="M106" s="28"/>
      <c r="N106" s="28"/>
    </row>
    <row r="107" spans="1:29" s="72" customFormat="1" thickBot="1" x14ac:dyDescent="0.25">
      <c r="A107" s="40"/>
      <c r="B107" s="40"/>
      <c r="C107" s="40"/>
      <c r="D107" s="40"/>
      <c r="E107" s="40"/>
      <c r="F107" s="40"/>
      <c r="G107" s="40"/>
      <c r="H107" s="40"/>
      <c r="I107" s="28"/>
      <c r="N107" s="40"/>
    </row>
    <row r="108" spans="1:29" s="72" customFormat="1" thickBot="1" x14ac:dyDescent="0.25">
      <c r="A108" s="792" t="s">
        <v>179</v>
      </c>
      <c r="B108" s="793"/>
      <c r="C108" s="28"/>
      <c r="D108" s="61"/>
      <c r="E108" s="61"/>
      <c r="F108" s="61"/>
      <c r="G108" s="61"/>
      <c r="H108" s="61"/>
      <c r="I108" s="28"/>
      <c r="N108" s="28"/>
    </row>
    <row r="109" spans="1:29" s="72" customFormat="1" thickBot="1" x14ac:dyDescent="0.25">
      <c r="A109" s="782" t="s">
        <v>180</v>
      </c>
      <c r="B109" s="783"/>
      <c r="C109" s="28"/>
      <c r="D109" s="61"/>
      <c r="E109" s="61"/>
      <c r="F109" s="61"/>
      <c r="G109" s="61"/>
      <c r="H109" s="61"/>
      <c r="I109" s="28"/>
      <c r="N109" s="28"/>
    </row>
    <row r="110" spans="1:29" s="72" customFormat="1" thickTop="1" x14ac:dyDescent="0.2">
      <c r="A110" s="281" t="s">
        <v>181</v>
      </c>
      <c r="B110" s="119">
        <v>6</v>
      </c>
      <c r="C110" s="28"/>
      <c r="D110" s="60"/>
      <c r="E110" s="469"/>
      <c r="F110" s="469"/>
      <c r="G110" s="28"/>
      <c r="H110" s="28"/>
      <c r="I110" s="28"/>
      <c r="N110" s="28"/>
    </row>
    <row r="111" spans="1:29" s="72" customFormat="1" ht="12" x14ac:dyDescent="0.2">
      <c r="A111" s="282" t="s">
        <v>182</v>
      </c>
      <c r="B111" s="91">
        <v>6</v>
      </c>
      <c r="C111" s="28"/>
      <c r="D111" s="60"/>
      <c r="E111" s="469"/>
      <c r="F111" s="469"/>
      <c r="G111" s="28"/>
      <c r="H111" s="28"/>
      <c r="I111" s="28"/>
      <c r="N111" s="28"/>
    </row>
    <row r="112" spans="1:29" s="72" customFormat="1" ht="12" x14ac:dyDescent="0.2">
      <c r="A112" s="282" t="s">
        <v>183</v>
      </c>
      <c r="B112" s="89" t="s">
        <v>193</v>
      </c>
      <c r="C112" s="28"/>
      <c r="D112" s="60"/>
      <c r="E112" s="469"/>
      <c r="F112" s="469"/>
      <c r="G112" s="28"/>
      <c r="H112" s="61"/>
      <c r="I112" s="28"/>
      <c r="N112" s="28"/>
    </row>
    <row r="113" spans="1:14" s="72" customFormat="1" ht="12" x14ac:dyDescent="0.2">
      <c r="A113" s="282" t="s">
        <v>184</v>
      </c>
      <c r="B113" s="91" t="s">
        <v>193</v>
      </c>
      <c r="C113" s="28"/>
      <c r="D113" s="60"/>
      <c r="E113" s="469"/>
      <c r="F113" s="469"/>
      <c r="G113" s="28"/>
      <c r="H113" s="28"/>
      <c r="I113" s="28"/>
      <c r="N113" s="28"/>
    </row>
    <row r="114" spans="1:14" s="72" customFormat="1" ht="12" x14ac:dyDescent="0.2">
      <c r="A114" s="282" t="s">
        <v>185</v>
      </c>
      <c r="B114" s="120">
        <v>1</v>
      </c>
      <c r="C114" s="28"/>
      <c r="D114" s="62"/>
      <c r="E114" s="469"/>
      <c r="F114" s="469"/>
      <c r="G114" s="61"/>
      <c r="H114" s="61"/>
      <c r="I114" s="28"/>
      <c r="N114" s="28"/>
    </row>
    <row r="115" spans="1:14" s="72" customFormat="1" ht="12" x14ac:dyDescent="0.2">
      <c r="A115" s="282" t="s">
        <v>186</v>
      </c>
      <c r="B115" s="120">
        <v>3</v>
      </c>
      <c r="C115" s="28"/>
      <c r="D115" s="62"/>
      <c r="E115" s="469"/>
      <c r="F115" s="469"/>
      <c r="G115" s="61"/>
      <c r="H115" s="61"/>
      <c r="I115" s="28"/>
      <c r="N115" s="28"/>
    </row>
    <row r="116" spans="1:14" s="72" customFormat="1" ht="12" x14ac:dyDescent="0.2">
      <c r="A116" s="282" t="s">
        <v>187</v>
      </c>
      <c r="B116" s="120">
        <v>6</v>
      </c>
      <c r="C116" s="28"/>
      <c r="D116" s="62"/>
      <c r="E116" s="469"/>
      <c r="F116" s="469"/>
      <c r="G116" s="61"/>
      <c r="H116" s="28"/>
      <c r="I116" s="28"/>
      <c r="N116" s="28"/>
    </row>
    <row r="117" spans="1:14" s="72" customFormat="1" ht="12" x14ac:dyDescent="0.2">
      <c r="A117" s="282" t="s">
        <v>188</v>
      </c>
      <c r="B117" s="91" t="s">
        <v>193</v>
      </c>
      <c r="C117" s="28"/>
      <c r="D117" s="62"/>
      <c r="E117" s="469"/>
      <c r="F117" s="469"/>
      <c r="G117" s="61"/>
      <c r="H117" s="61"/>
      <c r="I117" s="28"/>
      <c r="N117" s="28"/>
    </row>
    <row r="118" spans="1:14" s="72" customFormat="1" ht="12" x14ac:dyDescent="0.2">
      <c r="A118" s="282" t="s">
        <v>189</v>
      </c>
      <c r="B118" s="91" t="s">
        <v>193</v>
      </c>
      <c r="C118" s="28"/>
      <c r="D118" s="62"/>
      <c r="E118" s="469"/>
      <c r="F118" s="469"/>
      <c r="G118" s="61"/>
      <c r="H118" s="61"/>
      <c r="I118" s="28"/>
      <c r="N118" s="28"/>
    </row>
    <row r="119" spans="1:14" s="72" customFormat="1" ht="12" x14ac:dyDescent="0.2">
      <c r="A119" s="282" t="s">
        <v>190</v>
      </c>
      <c r="B119" s="91" t="s">
        <v>193</v>
      </c>
      <c r="C119" s="28"/>
      <c r="D119" s="62"/>
      <c r="E119" s="469"/>
      <c r="F119" s="469"/>
      <c r="G119" s="61"/>
      <c r="H119" s="61"/>
      <c r="I119" s="28"/>
      <c r="N119" s="28"/>
    </row>
    <row r="120" spans="1:14" s="72" customFormat="1" ht="12" x14ac:dyDescent="0.2">
      <c r="A120" s="282" t="s">
        <v>191</v>
      </c>
      <c r="B120" s="91" t="s">
        <v>193</v>
      </c>
      <c r="C120" s="28"/>
      <c r="D120" s="62"/>
      <c r="E120" s="469"/>
      <c r="F120" s="469"/>
      <c r="G120" s="61"/>
      <c r="H120" s="28"/>
      <c r="I120" s="28"/>
      <c r="N120" s="28"/>
    </row>
    <row r="121" spans="1:14" s="72" customFormat="1" ht="12" x14ac:dyDescent="0.2">
      <c r="A121" s="282" t="s">
        <v>192</v>
      </c>
      <c r="B121" s="91" t="s">
        <v>193</v>
      </c>
      <c r="C121" s="28"/>
      <c r="D121" s="62"/>
      <c r="E121" s="469"/>
      <c r="F121" s="469"/>
      <c r="G121" s="61"/>
      <c r="H121" s="61"/>
      <c r="I121" s="28"/>
      <c r="N121" s="82"/>
    </row>
    <row r="122" spans="1:14" s="72" customFormat="1" ht="12" x14ac:dyDescent="0.2">
      <c r="A122" s="282" t="s">
        <v>194</v>
      </c>
      <c r="B122" s="91" t="s">
        <v>193</v>
      </c>
      <c r="C122" s="28"/>
      <c r="D122" s="62"/>
      <c r="E122" s="469"/>
      <c r="F122" s="469"/>
      <c r="G122" s="61"/>
      <c r="H122" s="61"/>
      <c r="I122" s="28"/>
      <c r="N122" s="28"/>
    </row>
    <row r="123" spans="1:14" s="72" customFormat="1" ht="12" x14ac:dyDescent="0.2">
      <c r="A123" s="282" t="s">
        <v>195</v>
      </c>
      <c r="B123" s="91" t="s">
        <v>193</v>
      </c>
      <c r="C123" s="28"/>
      <c r="D123" s="62"/>
      <c r="E123" s="469"/>
      <c r="F123" s="469"/>
      <c r="G123" s="61"/>
      <c r="H123" s="61"/>
      <c r="I123" s="28"/>
      <c r="N123" s="28"/>
    </row>
    <row r="124" spans="1:14" s="72" customFormat="1" ht="12" x14ac:dyDescent="0.2">
      <c r="A124" s="282" t="s">
        <v>196</v>
      </c>
      <c r="B124" s="91" t="s">
        <v>193</v>
      </c>
      <c r="C124" s="28"/>
      <c r="D124" s="62"/>
      <c r="E124" s="469"/>
      <c r="F124" s="469"/>
      <c r="G124" s="61"/>
      <c r="H124" s="61"/>
      <c r="I124" s="28"/>
      <c r="N124" s="28"/>
    </row>
    <row r="125" spans="1:14" s="72" customFormat="1" ht="12" x14ac:dyDescent="0.2">
      <c r="A125" s="282" t="s">
        <v>197</v>
      </c>
      <c r="B125" s="91" t="s">
        <v>193</v>
      </c>
      <c r="C125" s="28"/>
      <c r="D125" s="62"/>
      <c r="E125" s="469"/>
      <c r="F125" s="469"/>
      <c r="G125" s="61"/>
      <c r="H125" s="61"/>
      <c r="I125" s="28"/>
      <c r="N125" s="28"/>
    </row>
    <row r="126" spans="1:14" s="72" customFormat="1" ht="12" x14ac:dyDescent="0.2">
      <c r="A126" s="282" t="s">
        <v>198</v>
      </c>
      <c r="B126" s="91" t="s">
        <v>193</v>
      </c>
      <c r="C126" s="28"/>
      <c r="D126" s="28"/>
      <c r="E126" s="469"/>
      <c r="F126" s="469"/>
      <c r="G126" s="28"/>
      <c r="H126" s="28"/>
      <c r="I126" s="28"/>
      <c r="N126" s="28"/>
    </row>
    <row r="127" spans="1:14" s="72" customFormat="1" ht="12" x14ac:dyDescent="0.2">
      <c r="A127" s="282" t="s">
        <v>199</v>
      </c>
      <c r="B127" s="91">
        <v>6</v>
      </c>
      <c r="C127" s="28"/>
      <c r="D127" s="28"/>
      <c r="E127" s="469"/>
      <c r="F127" s="469"/>
      <c r="G127" s="28"/>
      <c r="H127" s="28"/>
      <c r="I127" s="28"/>
      <c r="N127" s="28"/>
    </row>
    <row r="128" spans="1:14" s="62" customFormat="1" ht="12" x14ac:dyDescent="0.2">
      <c r="A128" s="282" t="s">
        <v>200</v>
      </c>
      <c r="B128" s="91">
        <v>6</v>
      </c>
      <c r="C128" s="61"/>
      <c r="D128" s="61"/>
      <c r="E128" s="469"/>
      <c r="F128" s="469"/>
      <c r="G128" s="61"/>
      <c r="H128" s="61"/>
      <c r="I128" s="61"/>
      <c r="N128" s="28"/>
    </row>
    <row r="129" spans="1:14" s="62" customFormat="1" ht="12" x14ac:dyDescent="0.2">
      <c r="A129" s="282" t="s">
        <v>201</v>
      </c>
      <c r="B129" s="91">
        <v>1</v>
      </c>
      <c r="C129" s="61"/>
      <c r="D129" s="61"/>
      <c r="E129" s="469"/>
      <c r="F129" s="469"/>
      <c r="G129" s="61"/>
      <c r="H129" s="61"/>
      <c r="I129" s="61"/>
      <c r="N129" s="28"/>
    </row>
    <row r="130" spans="1:14" s="62" customFormat="1" ht="12" x14ac:dyDescent="0.2">
      <c r="A130" s="282" t="s">
        <v>202</v>
      </c>
      <c r="B130" s="91">
        <v>6</v>
      </c>
      <c r="C130" s="61"/>
      <c r="D130" s="61"/>
      <c r="E130" s="469"/>
      <c r="F130" s="469"/>
      <c r="G130" s="61"/>
      <c r="H130" s="61"/>
      <c r="I130" s="61"/>
      <c r="N130" s="28"/>
    </row>
    <row r="131" spans="1:14" s="62" customFormat="1" ht="12" x14ac:dyDescent="0.2">
      <c r="A131" s="282" t="s">
        <v>203</v>
      </c>
      <c r="B131" s="91">
        <v>6</v>
      </c>
      <c r="C131" s="61"/>
      <c r="D131" s="61"/>
      <c r="E131" s="469"/>
      <c r="F131" s="469"/>
      <c r="G131" s="61"/>
      <c r="H131" s="61"/>
      <c r="I131" s="61"/>
      <c r="N131" s="28"/>
    </row>
    <row r="132" spans="1:14" s="62" customFormat="1" ht="12" x14ac:dyDescent="0.2">
      <c r="A132" s="282" t="s">
        <v>204</v>
      </c>
      <c r="B132" s="91" t="s">
        <v>193</v>
      </c>
      <c r="C132" s="61"/>
      <c r="D132" s="61"/>
      <c r="E132" s="469"/>
      <c r="F132" s="469"/>
      <c r="G132" s="61"/>
      <c r="H132" s="61"/>
      <c r="I132" s="61"/>
      <c r="N132" s="28"/>
    </row>
    <row r="133" spans="1:14" s="62" customFormat="1" ht="12" x14ac:dyDescent="0.2">
      <c r="A133" s="282" t="s">
        <v>205</v>
      </c>
      <c r="B133" s="91" t="s">
        <v>193</v>
      </c>
      <c r="C133" s="61"/>
      <c r="D133" s="61"/>
      <c r="E133" s="469"/>
      <c r="F133" s="469"/>
      <c r="G133" s="61"/>
      <c r="H133" s="61"/>
      <c r="I133" s="61"/>
      <c r="N133" s="28"/>
    </row>
    <row r="134" spans="1:14" s="62" customFormat="1" ht="12" x14ac:dyDescent="0.2">
      <c r="A134" s="282" t="s">
        <v>206</v>
      </c>
      <c r="B134" s="91" t="s">
        <v>193</v>
      </c>
      <c r="C134" s="61"/>
      <c r="D134" s="61"/>
      <c r="E134" s="469"/>
      <c r="F134" s="469"/>
      <c r="G134" s="61"/>
      <c r="H134" s="61"/>
      <c r="I134" s="61"/>
      <c r="N134" s="28"/>
    </row>
    <row r="135" spans="1:14" s="62" customFormat="1" ht="12" x14ac:dyDescent="0.2">
      <c r="A135" s="282" t="s">
        <v>207</v>
      </c>
      <c r="B135" s="91" t="s">
        <v>193</v>
      </c>
      <c r="C135" s="61"/>
      <c r="D135" s="61"/>
      <c r="E135" s="469"/>
      <c r="F135" s="469"/>
      <c r="G135" s="61"/>
      <c r="H135" s="61"/>
      <c r="I135" s="61"/>
      <c r="N135" s="28"/>
    </row>
    <row r="136" spans="1:14" s="62" customFormat="1" ht="12" x14ac:dyDescent="0.2">
      <c r="A136" s="282" t="s">
        <v>208</v>
      </c>
      <c r="B136" s="91" t="s">
        <v>193</v>
      </c>
      <c r="C136" s="61"/>
      <c r="D136" s="61"/>
      <c r="E136" s="469"/>
      <c r="F136" s="469"/>
      <c r="G136" s="61"/>
      <c r="H136" s="61"/>
      <c r="I136" s="61"/>
      <c r="N136" s="28"/>
    </row>
    <row r="137" spans="1:14" s="62" customFormat="1" ht="12" x14ac:dyDescent="0.2">
      <c r="A137" s="282" t="s">
        <v>209</v>
      </c>
      <c r="B137" s="91" t="s">
        <v>193</v>
      </c>
      <c r="C137" s="61"/>
      <c r="D137" s="61"/>
      <c r="E137" s="469"/>
      <c r="F137" s="469"/>
      <c r="G137" s="61"/>
      <c r="H137" s="61"/>
      <c r="I137" s="61"/>
      <c r="N137" s="28"/>
    </row>
    <row r="138" spans="1:14" s="62" customFormat="1" ht="12" x14ac:dyDescent="0.2">
      <c r="A138" s="282" t="s">
        <v>210</v>
      </c>
      <c r="B138" s="91">
        <v>6</v>
      </c>
      <c r="C138" s="61"/>
      <c r="D138" s="61"/>
      <c r="E138" s="469"/>
      <c r="F138" s="469"/>
      <c r="G138" s="61"/>
      <c r="H138" s="61"/>
      <c r="I138" s="61"/>
      <c r="N138" s="28"/>
    </row>
    <row r="139" spans="1:14" s="62" customFormat="1" ht="12" x14ac:dyDescent="0.2">
      <c r="A139" s="282" t="s">
        <v>211</v>
      </c>
      <c r="B139" s="91" t="s">
        <v>193</v>
      </c>
      <c r="C139" s="61"/>
      <c r="D139" s="61"/>
      <c r="E139" s="469"/>
      <c r="F139" s="469"/>
      <c r="G139" s="61"/>
      <c r="H139" s="61"/>
      <c r="I139" s="61"/>
      <c r="N139" s="28"/>
    </row>
    <row r="140" spans="1:14" s="62" customFormat="1" ht="12" x14ac:dyDescent="0.2">
      <c r="A140" s="282" t="s">
        <v>212</v>
      </c>
      <c r="B140" s="91" t="s">
        <v>193</v>
      </c>
      <c r="C140" s="61"/>
      <c r="D140" s="61"/>
      <c r="E140" s="469"/>
      <c r="F140" s="469"/>
      <c r="G140" s="61"/>
      <c r="H140" s="61"/>
      <c r="I140" s="61"/>
      <c r="N140" s="28"/>
    </row>
    <row r="141" spans="1:14" s="62" customFormat="1" thickBot="1" x14ac:dyDescent="0.25">
      <c r="A141" s="453" t="s">
        <v>213</v>
      </c>
      <c r="B141" s="93">
        <v>3</v>
      </c>
      <c r="C141" s="61"/>
      <c r="D141" s="61"/>
      <c r="E141" s="469"/>
      <c r="F141" s="469"/>
      <c r="G141" s="61"/>
      <c r="H141" s="61"/>
      <c r="I141" s="61"/>
      <c r="N141" s="28"/>
    </row>
    <row r="142" spans="1:14" s="62" customFormat="1" thickBot="1" x14ac:dyDescent="0.25">
      <c r="A142" s="121"/>
      <c r="B142" s="122"/>
      <c r="C142" s="61"/>
      <c r="D142" s="61"/>
      <c r="E142" s="61"/>
      <c r="F142" s="61"/>
      <c r="G142" s="61"/>
      <c r="H142" s="61"/>
      <c r="I142" s="61"/>
      <c r="N142" s="28"/>
    </row>
    <row r="143" spans="1:14" s="62" customFormat="1" ht="13.5" thickBot="1" x14ac:dyDescent="0.25">
      <c r="A143" s="738" t="s">
        <v>214</v>
      </c>
      <c r="B143" s="739"/>
      <c r="C143" s="105"/>
      <c r="D143" s="105"/>
      <c r="E143" s="105"/>
      <c r="F143" s="105"/>
      <c r="G143" s="105"/>
      <c r="H143" s="105"/>
      <c r="I143" s="105"/>
      <c r="J143" s="105"/>
      <c r="K143" s="105"/>
      <c r="L143" s="105"/>
      <c r="M143" s="105"/>
      <c r="N143" s="105"/>
    </row>
    <row r="144" spans="1:14" s="62" customFormat="1" ht="12" x14ac:dyDescent="0.2">
      <c r="A144" s="126" t="s">
        <v>215</v>
      </c>
      <c r="B144" s="127" t="s">
        <v>216</v>
      </c>
      <c r="C144" s="127" t="s">
        <v>216</v>
      </c>
      <c r="D144" s="127" t="s">
        <v>216</v>
      </c>
      <c r="E144" s="127" t="s">
        <v>216</v>
      </c>
      <c r="F144" s="127" t="s">
        <v>216</v>
      </c>
      <c r="G144" s="127"/>
      <c r="H144" s="127"/>
      <c r="I144" s="127"/>
      <c r="J144" s="127"/>
      <c r="K144" s="127"/>
      <c r="L144" s="127"/>
      <c r="M144" s="127"/>
      <c r="N144" s="130" t="s">
        <v>216</v>
      </c>
    </row>
    <row r="145" spans="1:29" s="62" customFormat="1" thickBot="1" x14ac:dyDescent="0.25">
      <c r="A145" s="128" t="s">
        <v>217</v>
      </c>
      <c r="B145" s="129"/>
      <c r="C145" s="129"/>
      <c r="D145" s="129"/>
      <c r="E145" s="129"/>
      <c r="F145" s="129"/>
      <c r="G145" s="129" t="s">
        <v>216</v>
      </c>
      <c r="H145" s="129" t="s">
        <v>216</v>
      </c>
      <c r="I145" s="129" t="s">
        <v>216</v>
      </c>
      <c r="J145" s="129" t="s">
        <v>216</v>
      </c>
      <c r="K145" s="129" t="s">
        <v>216</v>
      </c>
      <c r="L145" s="129" t="s">
        <v>216</v>
      </c>
      <c r="M145" s="129" t="s">
        <v>216</v>
      </c>
      <c r="N145" s="131"/>
    </row>
    <row r="146" spans="1:29" s="62" customFormat="1" thickBot="1" x14ac:dyDescent="0.25">
      <c r="A146" s="121"/>
      <c r="B146" s="123"/>
      <c r="C146" s="61"/>
      <c r="D146" s="61"/>
      <c r="E146" s="61"/>
      <c r="F146" s="61"/>
      <c r="G146" s="61"/>
      <c r="H146" s="61"/>
      <c r="I146" s="61"/>
      <c r="N146" s="28"/>
    </row>
    <row r="147" spans="1:29" s="62" customFormat="1" ht="13.5" thickBot="1" x14ac:dyDescent="0.25">
      <c r="A147" s="551" t="s">
        <v>265</v>
      </c>
      <c r="B147" s="740" t="s">
        <v>220</v>
      </c>
      <c r="C147" s="741"/>
      <c r="D147" s="742" t="s">
        <v>221</v>
      </c>
      <c r="E147" s="743"/>
      <c r="F147" s="744" t="s">
        <v>222</v>
      </c>
      <c r="G147" s="745"/>
      <c r="H147" s="61"/>
      <c r="I147" s="194" t="s">
        <v>223</v>
      </c>
      <c r="N147" s="28"/>
    </row>
    <row r="148" spans="1:29" ht="13.5" thickBot="1" x14ac:dyDescent="0.25">
      <c r="A148" s="553" t="s">
        <v>224</v>
      </c>
      <c r="B148" s="297"/>
      <c r="C148" s="297"/>
      <c r="D148" s="297"/>
      <c r="E148" s="297"/>
      <c r="F148" s="297"/>
      <c r="G148" s="298"/>
      <c r="I148" s="194" t="s">
        <v>62</v>
      </c>
      <c r="AC148" s="28"/>
    </row>
    <row r="149" spans="1:29" ht="12" x14ac:dyDescent="0.2">
      <c r="A149" s="555" t="s">
        <v>225</v>
      </c>
      <c r="B149" s="233">
        <v>2</v>
      </c>
      <c r="C149" s="233"/>
      <c r="D149" s="234">
        <v>1</v>
      </c>
      <c r="E149" s="234"/>
      <c r="F149" s="235"/>
      <c r="G149" s="236">
        <v>0</v>
      </c>
      <c r="AC149" s="28"/>
    </row>
    <row r="150" spans="1:29" thickBot="1" x14ac:dyDescent="0.25">
      <c r="A150" s="555" t="s">
        <v>226</v>
      </c>
      <c r="B150" s="228">
        <v>2</v>
      </c>
      <c r="C150" s="228">
        <v>1</v>
      </c>
      <c r="D150" s="230"/>
      <c r="E150" s="230"/>
      <c r="F150" s="231"/>
      <c r="G150" s="232">
        <v>0</v>
      </c>
      <c r="AC150" s="28"/>
    </row>
    <row r="151" spans="1:29" thickBot="1" x14ac:dyDescent="0.25">
      <c r="A151" s="553" t="str">
        <f t="shared" ref="A151:A172" si="64">A38</f>
        <v>Integrated Mission Systems</v>
      </c>
      <c r="B151" s="297"/>
      <c r="C151" s="297"/>
      <c r="D151" s="297"/>
      <c r="E151" s="297"/>
      <c r="F151" s="297"/>
      <c r="G151" s="298"/>
      <c r="AC151" s="28"/>
    </row>
    <row r="152" spans="1:29" ht="12" x14ac:dyDescent="0.2">
      <c r="A152" s="556" t="str">
        <f t="shared" si="64"/>
        <v>Ready MH-60S Cargo Transport Mission Systems (C)</v>
      </c>
      <c r="B152" s="233">
        <f>$B$150</f>
        <v>2</v>
      </c>
      <c r="C152" s="233"/>
      <c r="D152" s="299">
        <v>1</v>
      </c>
      <c r="E152" s="299"/>
      <c r="F152" s="300"/>
      <c r="G152" s="301">
        <v>0</v>
      </c>
      <c r="AC152" s="28"/>
    </row>
    <row r="153" spans="1:29" ht="12" x14ac:dyDescent="0.2">
      <c r="A153" s="555" t="str">
        <f t="shared" si="64"/>
        <v>Ready MH-60S Airborne Mine Counter Measures (AMCM) Mission Systems (D)</v>
      </c>
      <c r="B153" s="224" t="s">
        <v>227</v>
      </c>
      <c r="C153" s="224"/>
      <c r="D153" s="225"/>
      <c r="E153" s="225"/>
      <c r="F153" s="226"/>
      <c r="G153" s="227"/>
      <c r="AC153" s="28"/>
    </row>
    <row r="154" spans="1:29" ht="12" x14ac:dyDescent="0.2">
      <c r="A154" s="555" t="str">
        <f t="shared" si="64"/>
        <v>Ready MH-60S Active/Passive Countermeasures Mission Systems (E)</v>
      </c>
      <c r="B154" s="224">
        <f>$B$150</f>
        <v>2</v>
      </c>
      <c r="C154" s="224"/>
      <c r="D154" s="225">
        <v>1</v>
      </c>
      <c r="E154" s="225"/>
      <c r="F154" s="226"/>
      <c r="G154" s="227">
        <v>0</v>
      </c>
      <c r="AC154" s="28"/>
    </row>
    <row r="155" spans="1:29" ht="12" x14ac:dyDescent="0.2">
      <c r="A155" s="555" t="str">
        <f t="shared" si="64"/>
        <v>Ready MH-60S CSAR, SUW, and Spec Warfare Mission Systems (F)</v>
      </c>
      <c r="B155" s="224">
        <f>$B$150</f>
        <v>2</v>
      </c>
      <c r="C155" s="224"/>
      <c r="D155" s="225">
        <v>1</v>
      </c>
      <c r="E155" s="225"/>
      <c r="F155" s="226"/>
      <c r="G155" s="227">
        <v>0</v>
      </c>
      <c r="AC155" s="28"/>
    </row>
    <row r="156" spans="1:29" ht="12" x14ac:dyDescent="0.2">
      <c r="A156" s="555" t="str">
        <f t="shared" si="64"/>
        <v>Ready MH-60S Personnel Transport Mission Systems (G)</v>
      </c>
      <c r="B156" s="224">
        <f>$B$150</f>
        <v>2</v>
      </c>
      <c r="C156" s="224"/>
      <c r="D156" s="225">
        <v>1</v>
      </c>
      <c r="E156" s="225"/>
      <c r="F156" s="226"/>
      <c r="G156" s="232">
        <v>0</v>
      </c>
      <c r="AC156" s="28"/>
    </row>
    <row r="157" spans="1:29" ht="12" x14ac:dyDescent="0.2">
      <c r="A157" s="555" t="str">
        <f t="shared" si="64"/>
        <v>Ready MH-60S SAR\MEDIVAC Mission Systems (H)</v>
      </c>
      <c r="B157" s="224">
        <f>$B$150</f>
        <v>2</v>
      </c>
      <c r="C157" s="224"/>
      <c r="D157" s="225">
        <v>1</v>
      </c>
      <c r="E157" s="225"/>
      <c r="F157" s="226"/>
      <c r="G157" s="232">
        <v>0</v>
      </c>
      <c r="AC157" s="28"/>
    </row>
    <row r="158" spans="1:29" ht="12" x14ac:dyDescent="0.2">
      <c r="A158" s="555" t="str">
        <f t="shared" si="64"/>
        <v>Ready MH-60S Mission Support Systems (I)</v>
      </c>
      <c r="B158" s="224" t="s">
        <v>227</v>
      </c>
      <c r="C158" s="224"/>
      <c r="D158" s="225"/>
      <c r="E158" s="225"/>
      <c r="F158" s="226"/>
      <c r="G158" s="232"/>
      <c r="AC158" s="28"/>
    </row>
    <row r="159" spans="1:29" ht="12" x14ac:dyDescent="0.2">
      <c r="A159" s="555" t="str">
        <f t="shared" si="64"/>
        <v>Ready MH-60S Fixed Forward Firing Systems (J)</v>
      </c>
      <c r="B159" s="224">
        <f>$B$150</f>
        <v>2</v>
      </c>
      <c r="C159" s="224"/>
      <c r="D159" s="225">
        <v>1</v>
      </c>
      <c r="E159" s="225"/>
      <c r="F159" s="226"/>
      <c r="G159" s="232">
        <v>0</v>
      </c>
      <c r="AC159" s="28"/>
    </row>
    <row r="160" spans="1:29" ht="12" x14ac:dyDescent="0.2">
      <c r="A160" s="555" t="str">
        <f t="shared" si="64"/>
        <v>Ready MH-60S Shipboard Mission Systems (K)</v>
      </c>
      <c r="B160" s="224">
        <f>$B$150</f>
        <v>2</v>
      </c>
      <c r="C160" s="224"/>
      <c r="D160" s="225">
        <v>1</v>
      </c>
      <c r="E160" s="225"/>
      <c r="F160" s="226"/>
      <c r="G160" s="227">
        <v>0</v>
      </c>
      <c r="AC160" s="28"/>
    </row>
    <row r="161" spans="1:29" thickBot="1" x14ac:dyDescent="0.25">
      <c r="A161" s="555" t="str">
        <f t="shared" si="64"/>
        <v>Ready MH-60S IMC Flight Mission Systems (L)</v>
      </c>
      <c r="B161" s="224">
        <f>$B$150</f>
        <v>2</v>
      </c>
      <c r="C161" s="224"/>
      <c r="D161" s="225">
        <v>1</v>
      </c>
      <c r="E161" s="225"/>
      <c r="F161" s="226"/>
      <c r="G161" s="227">
        <v>0</v>
      </c>
      <c r="AC161" s="28"/>
    </row>
    <row r="162" spans="1:29" thickBot="1" x14ac:dyDescent="0.25">
      <c r="A162" s="553" t="str">
        <f t="shared" si="64"/>
        <v>Non-Integrated Mission Systems</v>
      </c>
      <c r="B162" s="297"/>
      <c r="C162" s="297"/>
      <c r="D162" s="297"/>
      <c r="E162" s="297"/>
      <c r="F162" s="297"/>
      <c r="G162" s="298"/>
      <c r="AC162" s="28"/>
    </row>
    <row r="163" spans="1:29" ht="12" x14ac:dyDescent="0.2">
      <c r="A163" s="557" t="str">
        <f t="shared" si="64"/>
        <v>Assigned M-299 Sets</v>
      </c>
      <c r="B163" s="233" t="s">
        <v>227</v>
      </c>
      <c r="C163" s="224"/>
      <c r="D163" s="234"/>
      <c r="E163" s="234"/>
      <c r="F163" s="235"/>
      <c r="G163" s="302"/>
      <c r="AC163" s="28"/>
    </row>
    <row r="164" spans="1:29" ht="12" x14ac:dyDescent="0.2">
      <c r="A164" s="558" t="str">
        <f t="shared" si="64"/>
        <v>Ready M-299 Sets</v>
      </c>
      <c r="B164" s="224" t="s">
        <v>227</v>
      </c>
      <c r="C164" s="224"/>
      <c r="D164" s="225"/>
      <c r="E164" s="225"/>
      <c r="F164" s="226"/>
      <c r="G164" s="295"/>
      <c r="AC164" s="28"/>
    </row>
    <row r="165" spans="1:29" ht="12" x14ac:dyDescent="0.2">
      <c r="A165" s="558" t="str">
        <f t="shared" si="64"/>
        <v>Assigned 20-mm Sets</v>
      </c>
      <c r="B165" s="224" t="s">
        <v>227</v>
      </c>
      <c r="C165" s="224"/>
      <c r="D165" s="225"/>
      <c r="E165" s="225"/>
      <c r="F165" s="226"/>
      <c r="G165" s="295"/>
      <c r="AC165" s="28"/>
    </row>
    <row r="166" spans="1:29" ht="12" x14ac:dyDescent="0.2">
      <c r="A166" s="558" t="str">
        <f t="shared" si="64"/>
        <v>Ready 20-mm Sets</v>
      </c>
      <c r="B166" s="224" t="s">
        <v>227</v>
      </c>
      <c r="C166" s="224"/>
      <c r="D166" s="225"/>
      <c r="E166" s="225"/>
      <c r="F166" s="226"/>
      <c r="G166" s="295"/>
      <c r="AC166" s="28"/>
    </row>
    <row r="167" spans="1:29" ht="12" x14ac:dyDescent="0.2">
      <c r="A167" s="558" t="str">
        <f t="shared" si="64"/>
        <v>Assigned GAU-21 Sets</v>
      </c>
      <c r="B167" s="233" t="s">
        <v>227</v>
      </c>
      <c r="C167" s="224"/>
      <c r="D167" s="234"/>
      <c r="E167" s="234"/>
      <c r="F167" s="235"/>
      <c r="G167" s="302"/>
      <c r="AC167" s="28"/>
    </row>
    <row r="168" spans="1:29" ht="12" x14ac:dyDescent="0.2">
      <c r="A168" s="558" t="str">
        <f t="shared" si="64"/>
        <v>Ready GAU-21 Sets</v>
      </c>
      <c r="B168" s="224" t="s">
        <v>227</v>
      </c>
      <c r="C168" s="224"/>
      <c r="D168" s="225"/>
      <c r="E168" s="225"/>
      <c r="F168" s="226"/>
      <c r="G168" s="295"/>
      <c r="AC168" s="28"/>
    </row>
    <row r="169" spans="1:29" ht="12" x14ac:dyDescent="0.2">
      <c r="A169" s="558" t="str">
        <f t="shared" si="64"/>
        <v>Assigned M-240 Sets</v>
      </c>
      <c r="B169" s="233" t="s">
        <v>227</v>
      </c>
      <c r="C169" s="224"/>
      <c r="D169" s="234"/>
      <c r="E169" s="234"/>
      <c r="F169" s="235"/>
      <c r="G169" s="302"/>
      <c r="AC169" s="469"/>
    </row>
    <row r="170" spans="1:29" ht="12" x14ac:dyDescent="0.2">
      <c r="A170" s="558" t="str">
        <f t="shared" si="64"/>
        <v>Ready M-240 Sets</v>
      </c>
      <c r="B170" s="224" t="s">
        <v>227</v>
      </c>
      <c r="C170" s="224"/>
      <c r="D170" s="225"/>
      <c r="E170" s="225"/>
      <c r="F170" s="226"/>
      <c r="G170" s="295"/>
      <c r="AC170" s="469"/>
    </row>
    <row r="171" spans="1:29" ht="12" x14ac:dyDescent="0.2">
      <c r="A171" s="558" t="str">
        <f t="shared" si="64"/>
        <v>Assigned Full Motion Video Systems</v>
      </c>
      <c r="B171" s="224" t="s">
        <v>227</v>
      </c>
      <c r="C171" s="224"/>
      <c r="D171" s="225"/>
      <c r="E171" s="225"/>
      <c r="F171" s="226"/>
      <c r="G171" s="295"/>
      <c r="AC171" s="469"/>
    </row>
    <row r="172" spans="1:29" thickBot="1" x14ac:dyDescent="0.25">
      <c r="A172" s="559" t="str">
        <f t="shared" si="64"/>
        <v>Ready Full Motion Video Systems</v>
      </c>
      <c r="B172" s="237" t="s">
        <v>227</v>
      </c>
      <c r="C172" s="237"/>
      <c r="D172" s="238"/>
      <c r="E172" s="238"/>
      <c r="F172" s="239"/>
      <c r="G172" s="296"/>
      <c r="AC172" s="469"/>
    </row>
    <row r="173" spans="1:29" ht="12" x14ac:dyDescent="0.2">
      <c r="AC173" s="469"/>
    </row>
    <row r="174" spans="1:29" ht="12" x14ac:dyDescent="0.2">
      <c r="AC174" s="28"/>
    </row>
    <row r="175" spans="1:29" ht="12" x14ac:dyDescent="0.2">
      <c r="A175" s="631" t="s">
        <v>228</v>
      </c>
      <c r="B175" s="631" t="s">
        <v>266</v>
      </c>
      <c r="AC175" s="28"/>
    </row>
    <row r="176" spans="1:29" ht="12" x14ac:dyDescent="0.2">
      <c r="A176" s="632" t="s">
        <v>230</v>
      </c>
      <c r="B176" s="670">
        <f>HLOOKUP($B$175,'MH-60S Mission System Summary'!$B$1:$J$12,2,FALSE)</f>
        <v>0.61525284137703851</v>
      </c>
      <c r="AC176" s="28"/>
    </row>
    <row r="177" spans="1:29" ht="12" x14ac:dyDescent="0.2">
      <c r="A177" s="632" t="str">
        <f t="shared" ref="A177:A186" si="65">A39</f>
        <v>Ready MH-60S Cargo Transport Mission Systems (C)</v>
      </c>
      <c r="B177" s="670">
        <f>HLOOKUP($B$175,'MH-60S Mission System Summary'!$B$1:$J$12,3,FALSE)</f>
        <v>0.31055839235710753</v>
      </c>
      <c r="AC177" s="28"/>
    </row>
    <row r="178" spans="1:29" ht="12" x14ac:dyDescent="0.2">
      <c r="A178" s="632" t="str">
        <f t="shared" si="65"/>
        <v>Ready MH-60S Airborne Mine Counter Measures (AMCM) Mission Systems (D)</v>
      </c>
      <c r="B178" s="670">
        <f>HLOOKUP($B$175,'MH-60S Mission System Summary'!$B$1:$J$12,4,FALSE)</f>
        <v>0</v>
      </c>
      <c r="AC178" s="28"/>
    </row>
    <row r="179" spans="1:29" ht="12" x14ac:dyDescent="0.2">
      <c r="A179" s="632" t="str">
        <f t="shared" si="65"/>
        <v>Ready MH-60S Active/Passive Countermeasures Mission Systems (E)</v>
      </c>
      <c r="B179" s="670">
        <f>HLOOKUP($B$175,'MH-60S Mission System Summary'!$B$1:$J$12,5,FALSE)</f>
        <v>0.52218744852577836</v>
      </c>
      <c r="AC179" s="28"/>
    </row>
    <row r="180" spans="1:29" ht="12" x14ac:dyDescent="0.2">
      <c r="A180" s="632" t="str">
        <f t="shared" si="65"/>
        <v>Ready MH-60S CSAR, SUW, and Spec Warfare Mission Systems (F)</v>
      </c>
      <c r="B180" s="670">
        <f>HLOOKUP($B$175,'MH-60S Mission System Summary'!$B$1:$J$12,6,FALSE)</f>
        <v>0.52218744852577836</v>
      </c>
      <c r="AC180" s="28"/>
    </row>
    <row r="181" spans="1:29" ht="12" x14ac:dyDescent="0.2">
      <c r="A181" s="632" t="str">
        <f t="shared" si="65"/>
        <v>Ready MH-60S Personnel Transport Mission Systems (G)</v>
      </c>
      <c r="B181" s="670">
        <f>HLOOKUP($B$175,'MH-60S Mission System Summary'!$B$1:$J$12,7,FALSE)</f>
        <v>0.22671718003623786</v>
      </c>
      <c r="AC181" s="28"/>
    </row>
    <row r="182" spans="1:29" ht="12" x14ac:dyDescent="0.2">
      <c r="A182" s="632" t="str">
        <f t="shared" si="65"/>
        <v>Ready MH-60S SAR\MEDIVAC Mission Systems (H)</v>
      </c>
      <c r="B182" s="670">
        <f>HLOOKUP($B$175,'MH-60S Mission System Summary'!$B$1:$J$12,8,FALSE)</f>
        <v>0.22671718003623786</v>
      </c>
      <c r="AC182" s="28"/>
    </row>
    <row r="183" spans="1:29" ht="12" x14ac:dyDescent="0.2">
      <c r="A183" s="632" t="str">
        <f t="shared" si="65"/>
        <v>Ready MH-60S Mission Support Systems (I)</v>
      </c>
      <c r="B183" s="670">
        <f>HLOOKUP($B$175,'MH-60S Mission System Summary'!$B$1:$J$12,9,FALSE)</f>
        <v>0</v>
      </c>
      <c r="AC183" s="28"/>
    </row>
    <row r="184" spans="1:29" ht="12" x14ac:dyDescent="0.2">
      <c r="A184" s="632" t="str">
        <f t="shared" si="65"/>
        <v>Ready MH-60S Fixed Forward Firing Systems (J)</v>
      </c>
      <c r="B184" s="670">
        <f>HLOOKUP($B$175,'MH-60S Mission System Summary'!$B$1:$J$12,10,FALSE)</f>
        <v>0.52218744852577836</v>
      </c>
      <c r="AC184" s="28"/>
    </row>
    <row r="185" spans="1:29" ht="12" x14ac:dyDescent="0.2">
      <c r="A185" s="632" t="str">
        <f t="shared" si="65"/>
        <v>Ready MH-60S Shipboard Mission Systems (K)</v>
      </c>
      <c r="B185" s="670">
        <f>HLOOKUP($B$175,'MH-60S Mission System Summary'!$B$1:$J$12,11,FALSE)</f>
        <v>0.32357107560533688</v>
      </c>
      <c r="AC185" s="28"/>
    </row>
    <row r="186" spans="1:29" ht="12" x14ac:dyDescent="0.2">
      <c r="A186" s="632" t="str">
        <f t="shared" si="65"/>
        <v>Ready MH-60S IMC Flight Mission Systems (L)</v>
      </c>
      <c r="B186" s="670">
        <f>HLOOKUP($B$175,'MH-60S Mission System Summary'!$B$1:$J$12,12,FALSE)</f>
        <v>1</v>
      </c>
      <c r="AC186" s="28"/>
    </row>
  </sheetData>
  <mergeCells count="11">
    <mergeCell ref="B147:C147"/>
    <mergeCell ref="D147:E147"/>
    <mergeCell ref="F147:G147"/>
    <mergeCell ref="M1:P1"/>
    <mergeCell ref="A98:N98"/>
    <mergeCell ref="A143:B143"/>
    <mergeCell ref="A108:B108"/>
    <mergeCell ref="A109:B109"/>
    <mergeCell ref="B16:C16"/>
    <mergeCell ref="D16:G16"/>
    <mergeCell ref="H16:M16"/>
  </mergeCells>
  <conditionalFormatting sqref="N32">
    <cfRule type="cellIs" dxfId="172" priority="185" stopIfTrue="1" operator="equal">
      <formula>N$67</formula>
    </cfRule>
  </conditionalFormatting>
  <conditionalFormatting sqref="C149:C150 C164:C166 C152:C153 C158 C161">
    <cfRule type="cellIs" dxfId="171" priority="52" operator="equal">
      <formula>B149</formula>
    </cfRule>
  </conditionalFormatting>
  <conditionalFormatting sqref="D149:E150 D163:E166 D152:E153 D158:E158 D161:E161">
    <cfRule type="cellIs" dxfId="170" priority="51" operator="equal">
      <formula>C149</formula>
    </cfRule>
  </conditionalFormatting>
  <conditionalFormatting sqref="E149">
    <cfRule type="cellIs" dxfId="169" priority="50" operator="equal">
      <formula>D149</formula>
    </cfRule>
  </conditionalFormatting>
  <conditionalFormatting sqref="F149">
    <cfRule type="cellIs" dxfId="168" priority="49" operator="equal">
      <formula>E149</formula>
    </cfRule>
  </conditionalFormatting>
  <conditionalFormatting sqref="F150 F163:F164 F152:F153 F158 F161">
    <cfRule type="cellIs" dxfId="167" priority="47" operator="equal">
      <formula>G150</formula>
    </cfRule>
    <cfRule type="cellIs" dxfId="166" priority="48" operator="equal">
      <formula>E150</formula>
    </cfRule>
  </conditionalFormatting>
  <conditionalFormatting sqref="F165:F166">
    <cfRule type="cellIs" dxfId="165" priority="45" operator="equal">
      <formula>G165</formula>
    </cfRule>
    <cfRule type="cellIs" dxfId="164" priority="46" operator="equal">
      <formula>E165</formula>
    </cfRule>
  </conditionalFormatting>
  <conditionalFormatting sqref="F172">
    <cfRule type="cellIs" dxfId="163" priority="43" operator="equal">
      <formula>G134</formula>
    </cfRule>
    <cfRule type="cellIs" dxfId="162" priority="44" operator="equal">
      <formula>E134</formula>
    </cfRule>
  </conditionalFormatting>
  <conditionalFormatting sqref="F171">
    <cfRule type="cellIs" dxfId="161" priority="53" operator="equal">
      <formula>#REF!</formula>
    </cfRule>
    <cfRule type="cellIs" dxfId="160" priority="54" operator="equal">
      <formula>E132</formula>
    </cfRule>
  </conditionalFormatting>
  <conditionalFormatting sqref="D171:E172">
    <cfRule type="cellIs" dxfId="159" priority="55" operator="equal">
      <formula>C132</formula>
    </cfRule>
  </conditionalFormatting>
  <conditionalFormatting sqref="C171:C172">
    <cfRule type="cellIs" dxfId="158" priority="56" operator="equal">
      <formula>B132</formula>
    </cfRule>
  </conditionalFormatting>
  <conditionalFormatting sqref="C154">
    <cfRule type="cellIs" dxfId="157" priority="42" operator="equal">
      <formula>B154</formula>
    </cfRule>
  </conditionalFormatting>
  <conditionalFormatting sqref="D154:E154">
    <cfRule type="cellIs" dxfId="156" priority="41" operator="equal">
      <formula>C154</formula>
    </cfRule>
  </conditionalFormatting>
  <conditionalFormatting sqref="F154">
    <cfRule type="cellIs" dxfId="155" priority="39" operator="equal">
      <formula>G154</formula>
    </cfRule>
    <cfRule type="cellIs" dxfId="154" priority="40" operator="equal">
      <formula>E154</formula>
    </cfRule>
  </conditionalFormatting>
  <conditionalFormatting sqref="C155">
    <cfRule type="cellIs" dxfId="153" priority="38" operator="equal">
      <formula>B155</formula>
    </cfRule>
  </conditionalFormatting>
  <conditionalFormatting sqref="D155:E155">
    <cfRule type="cellIs" dxfId="152" priority="37" operator="equal">
      <formula>C155</formula>
    </cfRule>
  </conditionalFormatting>
  <conditionalFormatting sqref="F155">
    <cfRule type="cellIs" dxfId="151" priority="35" operator="equal">
      <formula>G155</formula>
    </cfRule>
    <cfRule type="cellIs" dxfId="150" priority="36" operator="equal">
      <formula>E155</formula>
    </cfRule>
  </conditionalFormatting>
  <conditionalFormatting sqref="C156">
    <cfRule type="cellIs" dxfId="149" priority="34" operator="equal">
      <formula>B156</formula>
    </cfRule>
  </conditionalFormatting>
  <conditionalFormatting sqref="D156:E156">
    <cfRule type="cellIs" dxfId="148" priority="33" operator="equal">
      <formula>C156</formula>
    </cfRule>
  </conditionalFormatting>
  <conditionalFormatting sqref="F156">
    <cfRule type="cellIs" dxfId="147" priority="31" operator="equal">
      <formula>G156</formula>
    </cfRule>
    <cfRule type="cellIs" dxfId="146" priority="32" operator="equal">
      <formula>E156</formula>
    </cfRule>
  </conditionalFormatting>
  <conditionalFormatting sqref="C157">
    <cfRule type="cellIs" dxfId="145" priority="30" operator="equal">
      <formula>B157</formula>
    </cfRule>
  </conditionalFormatting>
  <conditionalFormatting sqref="D157:E157">
    <cfRule type="cellIs" dxfId="144" priority="29" operator="equal">
      <formula>C157</formula>
    </cfRule>
  </conditionalFormatting>
  <conditionalFormatting sqref="F157">
    <cfRule type="cellIs" dxfId="143" priority="27" operator="equal">
      <formula>G157</formula>
    </cfRule>
    <cfRule type="cellIs" dxfId="142" priority="28" operator="equal">
      <formula>E157</formula>
    </cfRule>
  </conditionalFormatting>
  <conditionalFormatting sqref="C159">
    <cfRule type="cellIs" dxfId="141" priority="26" operator="equal">
      <formula>B159</formula>
    </cfRule>
  </conditionalFormatting>
  <conditionalFormatting sqref="D159:E159">
    <cfRule type="cellIs" dxfId="140" priority="25" operator="equal">
      <formula>C159</formula>
    </cfRule>
  </conditionalFormatting>
  <conditionalFormatting sqref="F159">
    <cfRule type="cellIs" dxfId="139" priority="23" operator="equal">
      <formula>G159</formula>
    </cfRule>
    <cfRule type="cellIs" dxfId="138" priority="24" operator="equal">
      <formula>E159</formula>
    </cfRule>
  </conditionalFormatting>
  <conditionalFormatting sqref="C160">
    <cfRule type="cellIs" dxfId="137" priority="22" operator="equal">
      <formula>B160</formula>
    </cfRule>
  </conditionalFormatting>
  <conditionalFormatting sqref="D160:E160">
    <cfRule type="cellIs" dxfId="136" priority="21" operator="equal">
      <formula>C160</formula>
    </cfRule>
  </conditionalFormatting>
  <conditionalFormatting sqref="F160">
    <cfRule type="cellIs" dxfId="135" priority="19" operator="equal">
      <formula>G160</formula>
    </cfRule>
    <cfRule type="cellIs" dxfId="134" priority="20" operator="equal">
      <formula>E160</formula>
    </cfRule>
  </conditionalFormatting>
  <conditionalFormatting sqref="C163">
    <cfRule type="cellIs" dxfId="133" priority="18" operator="equal">
      <formula>B163</formula>
    </cfRule>
  </conditionalFormatting>
  <conditionalFormatting sqref="C168">
    <cfRule type="cellIs" dxfId="132" priority="17" operator="equal">
      <formula>B168</formula>
    </cfRule>
  </conditionalFormatting>
  <conditionalFormatting sqref="D167:E168">
    <cfRule type="cellIs" dxfId="131" priority="16" operator="equal">
      <formula>C167</formula>
    </cfRule>
  </conditionalFormatting>
  <conditionalFormatting sqref="F167:F168">
    <cfRule type="cellIs" dxfId="130" priority="14" operator="equal">
      <formula>G167</formula>
    </cfRule>
    <cfRule type="cellIs" dxfId="129" priority="15" operator="equal">
      <formula>E167</formula>
    </cfRule>
  </conditionalFormatting>
  <conditionalFormatting sqref="C167">
    <cfRule type="cellIs" dxfId="128" priority="13" operator="equal">
      <formula>B167</formula>
    </cfRule>
  </conditionalFormatting>
  <conditionalFormatting sqref="C170">
    <cfRule type="cellIs" dxfId="127" priority="12" operator="equal">
      <formula>B170</formula>
    </cfRule>
  </conditionalFormatting>
  <conditionalFormatting sqref="D169:E170">
    <cfRule type="cellIs" dxfId="126" priority="11" operator="equal">
      <formula>C169</formula>
    </cfRule>
  </conditionalFormatting>
  <conditionalFormatting sqref="F169:F170">
    <cfRule type="cellIs" dxfId="125" priority="9" operator="equal">
      <formula>G169</formula>
    </cfRule>
    <cfRule type="cellIs" dxfId="124" priority="10" operator="equal">
      <formula>E169</formula>
    </cfRule>
  </conditionalFormatting>
  <conditionalFormatting sqref="C169">
    <cfRule type="cellIs" dxfId="123" priority="8" operator="equal">
      <formula>B169</formula>
    </cfRule>
  </conditionalFormatting>
  <conditionalFormatting sqref="B152:B153 B158 B161">
    <cfRule type="cellIs" dxfId="122" priority="7" operator="equal">
      <formula>A152</formula>
    </cfRule>
  </conditionalFormatting>
  <conditionalFormatting sqref="B154">
    <cfRule type="cellIs" dxfId="121" priority="6" operator="equal">
      <formula>A154</formula>
    </cfRule>
  </conditionalFormatting>
  <conditionalFormatting sqref="B155">
    <cfRule type="cellIs" dxfId="120" priority="5" operator="equal">
      <formula>A155</formula>
    </cfRule>
  </conditionalFormatting>
  <conditionalFormatting sqref="B156">
    <cfRule type="cellIs" dxfId="119" priority="4" operator="equal">
      <formula>A156</formula>
    </cfRule>
  </conditionalFormatting>
  <conditionalFormatting sqref="B157">
    <cfRule type="cellIs" dxfId="118" priority="3" operator="equal">
      <formula>A157</formula>
    </cfRule>
  </conditionalFormatting>
  <conditionalFormatting sqref="B159">
    <cfRule type="cellIs" dxfId="117" priority="2" operator="equal">
      <formula>A159</formula>
    </cfRule>
  </conditionalFormatting>
  <conditionalFormatting sqref="B160">
    <cfRule type="cellIs" dxfId="116" priority="1" operator="equal">
      <formula>A160</formula>
    </cfRule>
  </conditionalFormatting>
  <hyperlinks>
    <hyperlink ref="H1" location="Inventory!A1" display="Inventory" xr:uid="{00000000-0004-0000-0900-000000000000}"/>
    <hyperlink ref="I147" location="'HSC EXP 2AC CLF HUM DRRS'!A1" display="Top" xr:uid="{00000000-0004-0000-0900-000001000000}"/>
    <hyperlink ref="H2" location="'HSC EXP 2AC CLF HUM DRRS'!A165" display="AMFOM" xr:uid="{00000000-0004-0000-0900-000002000000}"/>
    <hyperlink ref="I148" location="Inventory!A1" display="Inventory" xr:uid="{00000000-0004-0000-0900-000003000000}"/>
  </hyperlinks>
  <printOptions horizontalCentered="1" verticalCentered="1"/>
  <pageMargins left="0.5" right="0.25" top="0.5" bottom="0.5" header="0.5" footer="0.5"/>
  <pageSetup scale="28"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186"/>
  <sheetViews>
    <sheetView showGridLines="0" topLeftCell="A157" zoomScaleNormal="100" zoomScaleSheetLayoutView="100" workbookViewId="0">
      <selection activeCell="A177" sqref="A177"/>
    </sheetView>
  </sheetViews>
  <sheetFormatPr defaultRowHeight="12" x14ac:dyDescent="0.2"/>
  <cols>
    <col min="1" max="1" width="62" style="28" bestFit="1" customWidth="1"/>
    <col min="2" max="29" width="5.7109375" style="28" customWidth="1"/>
    <col min="30" max="30" width="7" style="28" bestFit="1" customWidth="1"/>
    <col min="31" max="32" width="5.7109375" style="28" customWidth="1"/>
    <col min="33" max="16384" width="9.140625" style="28"/>
  </cols>
  <sheetData>
    <row r="1" spans="1:30" s="1" customFormat="1" ht="18.75" x14ac:dyDescent="0.3">
      <c r="A1" s="157" t="s">
        <v>267</v>
      </c>
      <c r="B1" s="157"/>
      <c r="C1" s="157"/>
      <c r="E1" s="150"/>
      <c r="H1" s="194" t="s">
        <v>62</v>
      </c>
      <c r="K1" s="150"/>
      <c r="L1" s="151" t="s">
        <v>3</v>
      </c>
      <c r="M1" s="770">
        <v>44835</v>
      </c>
      <c r="N1" s="770"/>
      <c r="O1" s="770"/>
      <c r="P1" s="770"/>
      <c r="Q1" s="157"/>
      <c r="R1" s="194"/>
      <c r="S1" s="150"/>
      <c r="T1" s="151"/>
      <c r="U1" s="770"/>
      <c r="V1" s="770"/>
      <c r="W1" s="770"/>
      <c r="X1" s="770"/>
      <c r="AC1" s="423" t="s">
        <v>63</v>
      </c>
      <c r="AD1" s="424">
        <v>7.09</v>
      </c>
    </row>
    <row r="2" spans="1:30" s="8" customFormat="1" x14ac:dyDescent="0.2">
      <c r="A2" s="135" t="s">
        <v>64</v>
      </c>
      <c r="B2" s="3">
        <v>4</v>
      </c>
      <c r="C2" s="4"/>
      <c r="E2" s="5"/>
      <c r="F2" s="4"/>
      <c r="G2" s="6"/>
      <c r="H2" s="624" t="s">
        <v>1</v>
      </c>
      <c r="I2" s="195"/>
      <c r="J2" s="7"/>
      <c r="K2" s="195"/>
      <c r="L2" s="196"/>
      <c r="Q2" s="4"/>
      <c r="R2" s="627"/>
      <c r="S2" s="5"/>
      <c r="T2" s="4"/>
      <c r="U2" s="6"/>
      <c r="V2" s="7"/>
      <c r="W2" s="195"/>
      <c r="X2" s="196"/>
    </row>
    <row r="3" spans="1:30" s="8" customFormat="1" ht="11.25" x14ac:dyDescent="0.2">
      <c r="A3" s="135" t="s">
        <v>65</v>
      </c>
      <c r="B3" s="65">
        <f>B4/B2</f>
        <v>1.5</v>
      </c>
      <c r="C3" s="12"/>
      <c r="I3" s="195"/>
      <c r="K3" s="195"/>
      <c r="L3" s="196"/>
      <c r="Q3" s="12"/>
      <c r="W3" s="195"/>
      <c r="X3" s="196"/>
    </row>
    <row r="4" spans="1:30" s="8" customFormat="1" ht="11.25" x14ac:dyDescent="0.2">
      <c r="A4" s="135" t="s">
        <v>66</v>
      </c>
      <c r="B4" s="10">
        <v>6</v>
      </c>
      <c r="C4" s="14"/>
      <c r="D4" s="15"/>
      <c r="E4" s="15"/>
      <c r="F4" s="16"/>
      <c r="G4" s="17"/>
      <c r="H4" s="18"/>
      <c r="I4" s="195"/>
      <c r="J4" s="18"/>
      <c r="K4" s="195"/>
      <c r="L4" s="196"/>
      <c r="Q4" s="14"/>
      <c r="R4" s="15"/>
      <c r="S4" s="15"/>
      <c r="T4" s="16"/>
      <c r="U4" s="17"/>
      <c r="V4" s="18"/>
      <c r="W4" s="195"/>
      <c r="X4" s="196"/>
    </row>
    <row r="5" spans="1:30" s="8" customFormat="1" ht="11.25" x14ac:dyDescent="0.2">
      <c r="A5" s="135" t="s">
        <v>67</v>
      </c>
      <c r="B5" s="19">
        <v>2</v>
      </c>
      <c r="C5" s="14"/>
      <c r="D5" s="15"/>
      <c r="E5" s="15"/>
      <c r="F5" s="20"/>
      <c r="G5" s="18"/>
      <c r="H5" s="18"/>
      <c r="I5" s="195"/>
      <c r="J5" s="18"/>
      <c r="K5" s="195"/>
      <c r="L5" s="197"/>
      <c r="Q5" s="14"/>
      <c r="R5" s="15"/>
      <c r="S5" s="15"/>
      <c r="T5" s="20"/>
      <c r="U5" s="18"/>
      <c r="V5" s="18"/>
      <c r="W5" s="195"/>
      <c r="X5" s="197"/>
    </row>
    <row r="6" spans="1:30" s="8" customFormat="1" ht="11.25" x14ac:dyDescent="0.2">
      <c r="A6" s="136" t="s">
        <v>68</v>
      </c>
      <c r="B6" s="65">
        <v>25.333300000000001</v>
      </c>
      <c r="C6" s="21"/>
      <c r="D6" s="22"/>
      <c r="E6" s="22"/>
      <c r="F6" s="20"/>
      <c r="G6" s="18"/>
      <c r="H6" s="18"/>
      <c r="I6" s="195"/>
      <c r="J6" s="18"/>
      <c r="K6" s="195"/>
      <c r="L6" s="197"/>
      <c r="Q6" s="21"/>
      <c r="R6" s="22"/>
      <c r="S6" s="22"/>
      <c r="T6" s="20"/>
      <c r="U6" s="18"/>
      <c r="V6" s="18"/>
      <c r="W6" s="195"/>
      <c r="X6" s="197"/>
    </row>
    <row r="7" spans="1:30" s="8" customFormat="1" ht="11.25" x14ac:dyDescent="0.2">
      <c r="A7" s="135" t="s">
        <v>69</v>
      </c>
      <c r="B7" s="65">
        <f>B6*B4</f>
        <v>151.99979999999999</v>
      </c>
      <c r="C7" s="14"/>
      <c r="D7" s="14"/>
      <c r="E7" s="15"/>
      <c r="F7" s="20"/>
      <c r="G7" s="18"/>
      <c r="H7" s="18"/>
      <c r="I7" s="195"/>
      <c r="J7" s="18"/>
      <c r="K7" s="195"/>
      <c r="L7" s="197"/>
      <c r="Q7" s="14"/>
      <c r="R7" s="14"/>
      <c r="S7" s="15"/>
      <c r="T7" s="20"/>
      <c r="U7" s="18"/>
      <c r="V7" s="18"/>
      <c r="W7" s="195"/>
      <c r="X7" s="197"/>
    </row>
    <row r="8" spans="1:30" s="8" customFormat="1" ht="11.25" x14ac:dyDescent="0.2">
      <c r="A8" s="135" t="s">
        <v>70</v>
      </c>
      <c r="B8" s="65">
        <f>B7/B5</f>
        <v>75.999899999999997</v>
      </c>
      <c r="C8" s="13"/>
      <c r="D8" s="14"/>
      <c r="E8" s="14"/>
      <c r="F8" s="20"/>
      <c r="G8" s="18"/>
      <c r="H8" s="18"/>
      <c r="I8" s="195"/>
      <c r="J8" s="18"/>
      <c r="K8" s="195"/>
      <c r="L8" s="197"/>
      <c r="Q8" s="13"/>
      <c r="R8" s="14"/>
      <c r="S8" s="14"/>
      <c r="T8" s="20"/>
      <c r="U8" s="18"/>
      <c r="V8" s="18"/>
      <c r="W8" s="195"/>
      <c r="X8" s="197"/>
    </row>
    <row r="9" spans="1:30" s="8" customFormat="1" ht="11.25" x14ac:dyDescent="0.2">
      <c r="A9" s="135" t="s">
        <v>71</v>
      </c>
      <c r="B9" s="65">
        <f>B4*C9</f>
        <v>6</v>
      </c>
      <c r="C9" s="23">
        <v>1</v>
      </c>
      <c r="D9" s="203" t="s">
        <v>72</v>
      </c>
      <c r="E9" s="14"/>
      <c r="F9" s="20"/>
      <c r="G9" s="132" t="s">
        <v>73</v>
      </c>
      <c r="H9" s="133">
        <v>0.4</v>
      </c>
      <c r="I9" s="195"/>
      <c r="J9" s="133"/>
      <c r="K9" s="195"/>
      <c r="L9" s="197"/>
      <c r="Q9" s="23"/>
      <c r="R9" s="203"/>
      <c r="S9" s="14"/>
      <c r="T9" s="20"/>
      <c r="U9" s="132"/>
      <c r="V9" s="133"/>
      <c r="W9" s="195"/>
      <c r="X9" s="197"/>
    </row>
    <row r="10" spans="1:30" s="8" customFormat="1" ht="11.25" x14ac:dyDescent="0.2">
      <c r="A10" s="135" t="s">
        <v>74</v>
      </c>
      <c r="B10" s="65">
        <f>B4*C10</f>
        <v>12</v>
      </c>
      <c r="C10" s="23">
        <v>2</v>
      </c>
      <c r="D10" s="203" t="s">
        <v>72</v>
      </c>
      <c r="E10" s="11"/>
      <c r="F10" s="20"/>
      <c r="G10" s="134" t="s">
        <v>75</v>
      </c>
      <c r="H10" s="454">
        <v>0.108</v>
      </c>
      <c r="I10" s="195"/>
      <c r="J10" s="133"/>
      <c r="K10" s="195"/>
      <c r="L10" s="198"/>
      <c r="Q10" s="23"/>
      <c r="R10" s="203"/>
      <c r="S10" s="11"/>
      <c r="T10" s="20"/>
      <c r="U10" s="134"/>
      <c r="V10" s="133"/>
      <c r="W10" s="195"/>
      <c r="X10" s="198"/>
    </row>
    <row r="11" spans="1:30" s="8" customFormat="1" ht="11.25" x14ac:dyDescent="0.2">
      <c r="A11" s="200" t="s">
        <v>76</v>
      </c>
      <c r="B11" s="65">
        <f>C11*B4</f>
        <v>6</v>
      </c>
      <c r="C11" s="202">
        <v>1</v>
      </c>
      <c r="D11" s="203" t="s">
        <v>72</v>
      </c>
      <c r="E11" s="25"/>
      <c r="F11" s="11"/>
      <c r="G11" s="11"/>
      <c r="H11" s="11"/>
      <c r="I11" s="195"/>
      <c r="J11" s="11"/>
      <c r="K11" s="195"/>
      <c r="L11" s="197"/>
      <c r="Q11" s="202"/>
      <c r="R11" s="203"/>
      <c r="S11" s="25"/>
      <c r="T11" s="11"/>
      <c r="U11" s="11"/>
      <c r="V11" s="11"/>
      <c r="W11" s="195"/>
      <c r="X11" s="197"/>
    </row>
    <row r="12" spans="1:30" s="8" customFormat="1" ht="11.25" x14ac:dyDescent="0.2">
      <c r="E12" s="25"/>
      <c r="F12" s="11"/>
      <c r="G12" s="11"/>
      <c r="H12" s="11"/>
      <c r="I12" s="195"/>
      <c r="J12" s="197"/>
      <c r="Q12" s="25"/>
      <c r="R12" s="25"/>
      <c r="S12" s="25"/>
      <c r="T12" s="11"/>
      <c r="U12" s="11"/>
      <c r="V12" s="11"/>
      <c r="W12" s="195"/>
      <c r="X12" s="197"/>
    </row>
    <row r="13" spans="1:30" s="26" customFormat="1" ht="59.25" x14ac:dyDescent="0.2">
      <c r="A13" s="66" t="s">
        <v>77</v>
      </c>
      <c r="B13" s="67" t="s">
        <v>78</v>
      </c>
      <c r="C13" s="67" t="s">
        <v>79</v>
      </c>
      <c r="D13" s="659" t="s">
        <v>83</v>
      </c>
      <c r="E13" s="163" t="s">
        <v>84</v>
      </c>
    </row>
    <row r="14" spans="1:30" s="27" customFormat="1" x14ac:dyDescent="0.2">
      <c r="A14" s="66" t="s">
        <v>85</v>
      </c>
      <c r="B14" s="125" t="s">
        <v>86</v>
      </c>
      <c r="C14" s="125" t="s">
        <v>87</v>
      </c>
      <c r="D14" s="718" t="s">
        <v>102</v>
      </c>
      <c r="E14" s="164" t="s">
        <v>113</v>
      </c>
    </row>
    <row r="15" spans="1:30" s="27" customFormat="1" x14ac:dyDescent="0.2">
      <c r="A15" s="66" t="s">
        <v>114</v>
      </c>
      <c r="B15" s="125">
        <v>3</v>
      </c>
      <c r="C15" s="125">
        <v>2</v>
      </c>
      <c r="D15" s="718">
        <v>1</v>
      </c>
      <c r="E15" s="164">
        <v>30</v>
      </c>
    </row>
    <row r="16" spans="1:30" x14ac:dyDescent="0.2">
      <c r="A16" s="66" t="s">
        <v>115</v>
      </c>
      <c r="B16" s="303" t="s">
        <v>242</v>
      </c>
      <c r="C16" s="303" t="s">
        <v>242</v>
      </c>
      <c r="D16" s="662" t="s">
        <v>83</v>
      </c>
      <c r="E16" s="218" t="s">
        <v>121</v>
      </c>
    </row>
    <row r="17" spans="1:5" ht="12.75" x14ac:dyDescent="0.2">
      <c r="A17" s="155" t="s">
        <v>122</v>
      </c>
      <c r="B17" s="638"/>
      <c r="C17" s="31"/>
      <c r="D17" s="87"/>
      <c r="E17" s="87"/>
    </row>
    <row r="18" spans="1:5" x14ac:dyDescent="0.2">
      <c r="A18" s="178" t="s">
        <v>123</v>
      </c>
      <c r="B18" s="177">
        <f t="shared" ref="B18:C18" si="0">IF(B101&lt;80,B102,MIN(B101,80))</f>
        <v>0</v>
      </c>
      <c r="C18" s="177">
        <f t="shared" si="0"/>
        <v>45</v>
      </c>
      <c r="D18" s="653">
        <f>IF(D101&lt;80,D102,MIN(D101,80))</f>
        <v>80</v>
      </c>
      <c r="E18" s="177">
        <f t="shared" ref="E18" si="1">IF(E101&lt;80,E102,MIN(E101,80))</f>
        <v>15</v>
      </c>
    </row>
    <row r="19" spans="1:5" x14ac:dyDescent="0.2">
      <c r="A19" s="34" t="s">
        <v>124</v>
      </c>
      <c r="B19" s="71">
        <v>0.5</v>
      </c>
      <c r="C19" s="71">
        <v>0.55000000000000004</v>
      </c>
      <c r="D19" s="645">
        <v>0.7</v>
      </c>
      <c r="E19" s="215">
        <v>0.4</v>
      </c>
    </row>
    <row r="20" spans="1:5" x14ac:dyDescent="0.2">
      <c r="A20" s="204" t="s">
        <v>125</v>
      </c>
      <c r="B20" s="638"/>
      <c r="C20" s="31"/>
      <c r="D20" s="87"/>
      <c r="E20" s="305"/>
    </row>
    <row r="21" spans="1:5" s="38" customFormat="1" x14ac:dyDescent="0.2">
      <c r="A21" s="205" t="s">
        <v>126</v>
      </c>
      <c r="B21" s="209">
        <f>B19*$B$8</f>
        <v>37.999949999999998</v>
      </c>
      <c r="C21" s="209">
        <f t="shared" ref="C21:E21" si="2">C19*$B$8</f>
        <v>41.799945000000001</v>
      </c>
      <c r="D21" s="210">
        <f t="shared" si="2"/>
        <v>53.199929999999995</v>
      </c>
      <c r="E21" s="209">
        <f t="shared" si="2"/>
        <v>30.39996</v>
      </c>
    </row>
    <row r="22" spans="1:5" s="40" customFormat="1" x14ac:dyDescent="0.2">
      <c r="A22" s="205" t="s">
        <v>127</v>
      </c>
      <c r="B22" s="37">
        <f>B21*$B$5</f>
        <v>75.999899999999997</v>
      </c>
      <c r="C22" s="37">
        <f t="shared" ref="C22:E22" si="3">C21*$B$5</f>
        <v>83.599890000000002</v>
      </c>
      <c r="D22" s="138">
        <f t="shared" si="3"/>
        <v>106.39985999999999</v>
      </c>
      <c r="E22" s="37">
        <f t="shared" si="3"/>
        <v>60.79992</v>
      </c>
    </row>
    <row r="23" spans="1:5" s="40" customFormat="1" x14ac:dyDescent="0.2">
      <c r="A23" s="205" t="s">
        <v>128</v>
      </c>
      <c r="B23" s="139">
        <f>$B$9</f>
        <v>6</v>
      </c>
      <c r="C23" s="139">
        <f t="shared" ref="C23:E23" si="4">$B$9</f>
        <v>6</v>
      </c>
      <c r="D23" s="140">
        <f t="shared" si="4"/>
        <v>6</v>
      </c>
      <c r="E23" s="139">
        <f t="shared" si="4"/>
        <v>6</v>
      </c>
    </row>
    <row r="24" spans="1:5" s="40" customFormat="1" x14ac:dyDescent="0.2">
      <c r="A24" s="205" t="s">
        <v>129</v>
      </c>
      <c r="B24" s="139">
        <f>IF(ISBLANK(B145),0,$B$10)</f>
        <v>0</v>
      </c>
      <c r="C24" s="139">
        <f>IF(ISBLANK(C145),0,$B$10)</f>
        <v>0</v>
      </c>
      <c r="D24" s="140">
        <f>IF(ISBLANK(D145),0,$B$10)</f>
        <v>12</v>
      </c>
      <c r="E24" s="139">
        <f>IF(ISBLANK(E145),0,$B$10)</f>
        <v>0</v>
      </c>
    </row>
    <row r="25" spans="1:5" s="40" customFormat="1" x14ac:dyDescent="0.2">
      <c r="A25" s="205" t="s">
        <v>130</v>
      </c>
      <c r="B25" s="37">
        <f>B21*$B$5+SUM(B23:B24)</f>
        <v>81.999899999999997</v>
      </c>
      <c r="C25" s="37">
        <f t="shared" ref="C25:E25" si="5">C21*$B$5+SUM(C23:C24)</f>
        <v>89.599890000000002</v>
      </c>
      <c r="D25" s="138">
        <f t="shared" si="5"/>
        <v>124.39985999999999</v>
      </c>
      <c r="E25" s="37">
        <f t="shared" si="5"/>
        <v>66.79992</v>
      </c>
    </row>
    <row r="26" spans="1:5" s="40" customFormat="1" x14ac:dyDescent="0.2">
      <c r="A26" s="206" t="s">
        <v>131</v>
      </c>
      <c r="B26" s="39">
        <f>-IF(ISBLANK(B144),0,MIN(B$22*$H$10,B$22-$B$7*$H$9))</f>
        <v>-8.2079892000000001</v>
      </c>
      <c r="C26" s="39">
        <f>-IF(ISBLANK(C144),0,MIN(C$22*$H$10,C$22-$B$7*$H$9))</f>
        <v>-9.0287881199999998</v>
      </c>
      <c r="D26" s="141">
        <f>-IF(ISBLANK(D144),0,MIN(D$22*$H$10,D$22-$B$7*$H$9))</f>
        <v>0</v>
      </c>
      <c r="E26" s="39">
        <f>-IF(ISBLANK(E144),0,MIN(E$22*$H$10,E$22-$B$7*$H$9))</f>
        <v>0</v>
      </c>
    </row>
    <row r="27" spans="1:5" s="40" customFormat="1" x14ac:dyDescent="0.2">
      <c r="A27" s="205" t="s">
        <v>132</v>
      </c>
      <c r="B27" s="39">
        <f t="shared" ref="B27:E27" si="6">SUM(B25:B26)</f>
        <v>73.791910799999997</v>
      </c>
      <c r="C27" s="39">
        <f t="shared" si="6"/>
        <v>80.571101880000001</v>
      </c>
      <c r="D27" s="141">
        <f t="shared" si="6"/>
        <v>124.39985999999999</v>
      </c>
      <c r="E27" s="39">
        <f t="shared" si="6"/>
        <v>66.79992</v>
      </c>
    </row>
    <row r="28" spans="1:5" s="40" customFormat="1" x14ac:dyDescent="0.2">
      <c r="A28" s="206" t="s">
        <v>133</v>
      </c>
      <c r="B28" s="41">
        <f>AVERAGE($B$22:$D$22)</f>
        <v>88.666549999999987</v>
      </c>
      <c r="C28" s="41">
        <f t="shared" ref="C28:E28" si="7">AVERAGE($B$22:$D$22)</f>
        <v>88.666549999999987</v>
      </c>
      <c r="D28" s="639">
        <f t="shared" si="7"/>
        <v>88.666549999999987</v>
      </c>
      <c r="E28" s="41">
        <f t="shared" si="7"/>
        <v>88.666549999999987</v>
      </c>
    </row>
    <row r="29" spans="1:5" s="40" customFormat="1" x14ac:dyDescent="0.2">
      <c r="A29" s="207" t="s">
        <v>134</v>
      </c>
      <c r="B29" s="638"/>
      <c r="C29" s="31"/>
      <c r="D29" s="87"/>
      <c r="E29" s="37"/>
    </row>
    <row r="30" spans="1:5" s="40" customFormat="1" x14ac:dyDescent="0.2">
      <c r="A30" s="206" t="s">
        <v>135</v>
      </c>
      <c r="B30" s="41">
        <f>IF(ISBLANK(B144),0,$B$11)</f>
        <v>6</v>
      </c>
      <c r="C30" s="41">
        <f>IF(ISBLANK(C144),0,$B$11)</f>
        <v>6</v>
      </c>
      <c r="D30" s="639">
        <f>IF(ISBLANK(D144),0,$B$11)</f>
        <v>0</v>
      </c>
      <c r="E30" s="41">
        <f>IF(ISBLANK(E144),0,$B$11)</f>
        <v>6</v>
      </c>
    </row>
    <row r="31" spans="1:5" s="40" customFormat="1" ht="12.75" x14ac:dyDescent="0.2">
      <c r="A31" s="155" t="s">
        <v>136</v>
      </c>
      <c r="B31" s="638"/>
      <c r="C31" s="31"/>
      <c r="D31" s="87"/>
      <c r="E31" s="34"/>
    </row>
    <row r="32" spans="1:5" s="40" customFormat="1" x14ac:dyDescent="0.2">
      <c r="A32" s="333" t="s">
        <v>137</v>
      </c>
      <c r="B32" s="35">
        <v>0.7</v>
      </c>
      <c r="C32" s="35">
        <v>0.8</v>
      </c>
      <c r="D32" s="147">
        <v>1</v>
      </c>
      <c r="E32" s="35">
        <v>0.7</v>
      </c>
    </row>
    <row r="33" spans="1:5" s="40" customFormat="1" x14ac:dyDescent="0.2">
      <c r="A33" s="333" t="s">
        <v>138</v>
      </c>
      <c r="B33" s="43">
        <f t="shared" ref="B33:C33" si="8">0.8*B32</f>
        <v>0.55999999999999994</v>
      </c>
      <c r="C33" s="43">
        <f t="shared" si="8"/>
        <v>0.64000000000000012</v>
      </c>
      <c r="D33" s="640">
        <f>0.8*D32</f>
        <v>0.8</v>
      </c>
      <c r="E33" s="43">
        <f t="shared" ref="E33" si="9">0.8*E32</f>
        <v>0.55999999999999994</v>
      </c>
    </row>
    <row r="34" spans="1:5" s="40" customFormat="1" x14ac:dyDescent="0.2">
      <c r="A34" s="333" t="s">
        <v>139</v>
      </c>
      <c r="B34" s="43">
        <f>((B36*$B$176)/$B$2)</f>
        <v>0.49729991799177869</v>
      </c>
      <c r="C34" s="43">
        <f t="shared" ref="C34:E34" si="10">((C36*$B$176)/$B$2)</f>
        <v>0.56834276341917556</v>
      </c>
      <c r="D34" s="43">
        <f t="shared" si="10"/>
        <v>0.7104284542739695</v>
      </c>
      <c r="E34" s="43">
        <f t="shared" si="10"/>
        <v>0.49729991799177869</v>
      </c>
    </row>
    <row r="35" spans="1:5" s="40" customFormat="1" x14ac:dyDescent="0.2">
      <c r="A35" s="205" t="s">
        <v>140</v>
      </c>
      <c r="B35" s="45">
        <f>ROUND($B$2*B$32,2)</f>
        <v>2.8</v>
      </c>
      <c r="C35" s="45">
        <f t="shared" ref="C35:E35" si="11">ROUND($B$2*C$32,2)</f>
        <v>3.2</v>
      </c>
      <c r="D35" s="166">
        <f t="shared" si="11"/>
        <v>4</v>
      </c>
      <c r="E35" s="45">
        <f t="shared" si="11"/>
        <v>2.8</v>
      </c>
    </row>
    <row r="36" spans="1:5" x14ac:dyDescent="0.2">
      <c r="A36" s="205" t="s">
        <v>141</v>
      </c>
      <c r="B36" s="45">
        <f>ROUND( $B$2*B$33,2)</f>
        <v>2.2400000000000002</v>
      </c>
      <c r="C36" s="45">
        <f t="shared" ref="C36:E36" si="12">ROUND( $B$2*C$33,2)</f>
        <v>2.56</v>
      </c>
      <c r="D36" s="166">
        <f t="shared" si="12"/>
        <v>3.2</v>
      </c>
      <c r="E36" s="45">
        <f t="shared" si="12"/>
        <v>2.2400000000000002</v>
      </c>
    </row>
    <row r="37" spans="1:5" x14ac:dyDescent="0.2">
      <c r="A37" s="620" t="s">
        <v>142</v>
      </c>
      <c r="B37" s="671">
        <f>B34*$B$2</f>
        <v>1.9891996719671148</v>
      </c>
      <c r="C37" s="671">
        <f t="shared" ref="C37:E37" si="13">C34*$B$2</f>
        <v>2.2733710536767022</v>
      </c>
      <c r="D37" s="671">
        <f t="shared" si="13"/>
        <v>2.841713817095878</v>
      </c>
      <c r="E37" s="671">
        <f t="shared" si="13"/>
        <v>1.9891996719671148</v>
      </c>
    </row>
    <row r="38" spans="1:5" ht="12.75" x14ac:dyDescent="0.2">
      <c r="A38" s="155" t="s">
        <v>143</v>
      </c>
      <c r="B38" s="638"/>
      <c r="C38" s="31"/>
      <c r="D38" s="87"/>
      <c r="E38" s="637"/>
    </row>
    <row r="39" spans="1:5" x14ac:dyDescent="0.2">
      <c r="A39" s="421" t="s">
        <v>144</v>
      </c>
      <c r="B39" s="633">
        <f>B$36*$B177</f>
        <v>0.88465229029878856</v>
      </c>
      <c r="C39" s="633">
        <f t="shared" ref="C39:E48" si="14">C$36*$B177</f>
        <v>1.0110311889129011</v>
      </c>
      <c r="D39" s="633">
        <f t="shared" si="14"/>
        <v>1.2637889861411264</v>
      </c>
      <c r="E39" s="633">
        <f t="shared" si="14"/>
        <v>0.88465229029878856</v>
      </c>
    </row>
    <row r="40" spans="1:5" x14ac:dyDescent="0.2">
      <c r="A40" s="421" t="s">
        <v>145</v>
      </c>
      <c r="B40" s="633">
        <f t="shared" ref="B40:E48" si="15">B$36*$B178</f>
        <v>0</v>
      </c>
      <c r="C40" s="633">
        <f t="shared" si="15"/>
        <v>0</v>
      </c>
      <c r="D40" s="633">
        <f t="shared" si="15"/>
        <v>0</v>
      </c>
      <c r="E40" s="633">
        <f t="shared" si="15"/>
        <v>0</v>
      </c>
    </row>
    <row r="41" spans="1:5" x14ac:dyDescent="0.2">
      <c r="A41" s="421" t="s">
        <v>146</v>
      </c>
      <c r="B41" s="633">
        <f t="shared" si="15"/>
        <v>1.9385959573557257</v>
      </c>
      <c r="C41" s="633">
        <f t="shared" si="14"/>
        <v>2.2155382369779719</v>
      </c>
      <c r="D41" s="633">
        <f t="shared" si="14"/>
        <v>2.7694227962224649</v>
      </c>
      <c r="E41" s="633">
        <f t="shared" si="14"/>
        <v>1.9385959573557257</v>
      </c>
    </row>
    <row r="42" spans="1:5" x14ac:dyDescent="0.2">
      <c r="A42" s="421" t="s">
        <v>147</v>
      </c>
      <c r="B42" s="633">
        <f t="shared" si="15"/>
        <v>1.9385959573557257</v>
      </c>
      <c r="C42" s="633">
        <f t="shared" si="14"/>
        <v>2.2155382369779719</v>
      </c>
      <c r="D42" s="633">
        <f t="shared" si="14"/>
        <v>2.7694227962224649</v>
      </c>
      <c r="E42" s="633">
        <f t="shared" si="14"/>
        <v>1.9385959573557257</v>
      </c>
    </row>
    <row r="43" spans="1:5" x14ac:dyDescent="0.2">
      <c r="A43" s="421" t="s">
        <v>148</v>
      </c>
      <c r="B43" s="633">
        <f t="shared" si="15"/>
        <v>1.758259568915274</v>
      </c>
      <c r="C43" s="633">
        <f t="shared" si="14"/>
        <v>2.0094395073317415</v>
      </c>
      <c r="D43" s="633">
        <f t="shared" si="14"/>
        <v>2.5117993841646769</v>
      </c>
      <c r="E43" s="633">
        <f t="shared" si="14"/>
        <v>1.758259568915274</v>
      </c>
    </row>
    <row r="44" spans="1:5" x14ac:dyDescent="0.2">
      <c r="A44" s="421" t="s">
        <v>149</v>
      </c>
      <c r="B44" s="633">
        <f t="shared" si="15"/>
        <v>1.758259568915274</v>
      </c>
      <c r="C44" s="633">
        <f t="shared" si="14"/>
        <v>2.0094395073317415</v>
      </c>
      <c r="D44" s="633">
        <f t="shared" si="14"/>
        <v>2.5117993841646769</v>
      </c>
      <c r="E44" s="633">
        <f t="shared" si="14"/>
        <v>1.758259568915274</v>
      </c>
    </row>
    <row r="45" spans="1:5" x14ac:dyDescent="0.2">
      <c r="A45" s="421" t="s">
        <v>150</v>
      </c>
      <c r="B45" s="633">
        <f t="shared" si="15"/>
        <v>0</v>
      </c>
      <c r="C45" s="633">
        <f t="shared" si="14"/>
        <v>0</v>
      </c>
      <c r="D45" s="633">
        <f t="shared" si="14"/>
        <v>0</v>
      </c>
      <c r="E45" s="633">
        <f t="shared" si="14"/>
        <v>0</v>
      </c>
    </row>
    <row r="46" spans="1:5" x14ac:dyDescent="0.2">
      <c r="A46" s="421" t="s">
        <v>151</v>
      </c>
      <c r="B46" s="633">
        <f t="shared" si="15"/>
        <v>1.7890030585456185</v>
      </c>
      <c r="C46" s="633">
        <f t="shared" si="14"/>
        <v>2.0445749240521351</v>
      </c>
      <c r="D46" s="633">
        <f t="shared" si="14"/>
        <v>2.5557186550651689</v>
      </c>
      <c r="E46" s="633">
        <f t="shared" si="14"/>
        <v>1.7890030585456185</v>
      </c>
    </row>
    <row r="47" spans="1:5" x14ac:dyDescent="0.2">
      <c r="A47" s="421" t="s">
        <v>152</v>
      </c>
      <c r="B47" s="633">
        <f>IF(B$13="Deploy",B$36,B$36*$B185)</f>
        <v>0.30140404264427523</v>
      </c>
      <c r="C47" s="633">
        <f t="shared" ref="C47:E47" si="16">IF(C$13="Deploy",C$36,C$36*$B185)</f>
        <v>0.3444617630220288</v>
      </c>
      <c r="D47" s="633">
        <f t="shared" si="16"/>
        <v>3.2</v>
      </c>
      <c r="E47" s="633">
        <f t="shared" si="16"/>
        <v>0.30140404264427523</v>
      </c>
    </row>
    <row r="48" spans="1:5" ht="12.75" x14ac:dyDescent="0.2">
      <c r="A48" s="422" t="s">
        <v>153</v>
      </c>
      <c r="B48" s="633">
        <f t="shared" si="15"/>
        <v>2.2400000000000002</v>
      </c>
      <c r="C48" s="633">
        <f t="shared" si="14"/>
        <v>2.56</v>
      </c>
      <c r="D48" s="633">
        <f t="shared" si="14"/>
        <v>3.2</v>
      </c>
      <c r="E48" s="633">
        <f t="shared" si="14"/>
        <v>2.2400000000000002</v>
      </c>
    </row>
    <row r="49" spans="1:16" ht="12.75" x14ac:dyDescent="0.2">
      <c r="A49" s="153" t="s">
        <v>154</v>
      </c>
      <c r="B49" s="638"/>
      <c r="C49" s="31"/>
      <c r="D49" s="87"/>
      <c r="E49" s="83"/>
    </row>
    <row r="50" spans="1:16" x14ac:dyDescent="0.2">
      <c r="A50" s="293" t="s">
        <v>155</v>
      </c>
      <c r="B50" s="46">
        <v>0</v>
      </c>
      <c r="C50" s="46">
        <v>2</v>
      </c>
      <c r="D50" s="661">
        <v>2</v>
      </c>
      <c r="E50" s="46">
        <v>0</v>
      </c>
    </row>
    <row r="51" spans="1:16" x14ac:dyDescent="0.2">
      <c r="A51" s="294" t="s">
        <v>156</v>
      </c>
      <c r="B51" s="52">
        <f t="shared" ref="B51" si="17">B50*B$33</f>
        <v>0</v>
      </c>
      <c r="C51" s="52">
        <f>C50*C$33</f>
        <v>1.2800000000000002</v>
      </c>
      <c r="D51" s="646">
        <f>D50*D$33</f>
        <v>1.6</v>
      </c>
      <c r="E51" s="52">
        <f t="shared" ref="E51" si="18">E50*E$33</f>
        <v>0</v>
      </c>
    </row>
    <row r="52" spans="1:16" x14ac:dyDescent="0.2">
      <c r="A52" s="293" t="s">
        <v>157</v>
      </c>
      <c r="B52" s="46">
        <v>0</v>
      </c>
      <c r="C52" s="46">
        <v>0</v>
      </c>
      <c r="D52" s="661">
        <v>0</v>
      </c>
      <c r="E52" s="46">
        <v>0</v>
      </c>
    </row>
    <row r="53" spans="1:16" x14ac:dyDescent="0.2">
      <c r="A53" s="294" t="s">
        <v>158</v>
      </c>
      <c r="B53" s="52">
        <f t="shared" ref="B53:C53" si="19">B52*B$33</f>
        <v>0</v>
      </c>
      <c r="C53" s="52">
        <f t="shared" si="19"/>
        <v>0</v>
      </c>
      <c r="D53" s="646">
        <f>D52*D$33</f>
        <v>0</v>
      </c>
      <c r="E53" s="52">
        <f t="shared" ref="E53" si="20">E52*E$33</f>
        <v>0</v>
      </c>
    </row>
    <row r="54" spans="1:16" s="40" customFormat="1" x14ac:dyDescent="0.2">
      <c r="A54" s="293" t="s">
        <v>159</v>
      </c>
      <c r="B54" s="46">
        <v>0</v>
      </c>
      <c r="C54" s="46">
        <v>0</v>
      </c>
      <c r="D54" s="661">
        <v>0</v>
      </c>
      <c r="E54" s="46">
        <v>0</v>
      </c>
    </row>
    <row r="55" spans="1:16" s="40" customFormat="1" x14ac:dyDescent="0.2">
      <c r="A55" s="294" t="s">
        <v>160</v>
      </c>
      <c r="B55" s="52">
        <f t="shared" ref="B55:C55" si="21">B54*B$33</f>
        <v>0</v>
      </c>
      <c r="C55" s="52">
        <f t="shared" si="21"/>
        <v>0</v>
      </c>
      <c r="D55" s="646">
        <f>D54*D$33</f>
        <v>0</v>
      </c>
      <c r="E55" s="52">
        <f t="shared" ref="E55" si="22">E54*E$33</f>
        <v>0</v>
      </c>
    </row>
    <row r="56" spans="1:16" s="40" customFormat="1" x14ac:dyDescent="0.2">
      <c r="A56" s="293" t="s">
        <v>161</v>
      </c>
      <c r="B56" s="46">
        <v>0</v>
      </c>
      <c r="C56" s="46">
        <v>10</v>
      </c>
      <c r="D56" s="661">
        <v>10</v>
      </c>
      <c r="E56" s="46">
        <v>0</v>
      </c>
    </row>
    <row r="57" spans="1:16" s="40" customFormat="1" x14ac:dyDescent="0.2">
      <c r="A57" s="294" t="s">
        <v>162</v>
      </c>
      <c r="B57" s="52">
        <f t="shared" ref="B57:C57" si="23">B56*B$33</f>
        <v>0</v>
      </c>
      <c r="C57" s="52">
        <f t="shared" si="23"/>
        <v>6.4000000000000012</v>
      </c>
      <c r="D57" s="646">
        <f>D56*D$33</f>
        <v>8</v>
      </c>
      <c r="E57" s="52">
        <f t="shared" ref="E57" si="24">E56*E$33</f>
        <v>0</v>
      </c>
    </row>
    <row r="58" spans="1:16" s="40" customFormat="1" x14ac:dyDescent="0.2">
      <c r="A58" s="293" t="s">
        <v>163</v>
      </c>
      <c r="B58" s="46">
        <v>0</v>
      </c>
      <c r="C58" s="46">
        <v>0</v>
      </c>
      <c r="D58" s="661">
        <v>0</v>
      </c>
      <c r="E58" s="46">
        <v>0</v>
      </c>
    </row>
    <row r="59" spans="1:16" s="40" customFormat="1" x14ac:dyDescent="0.2">
      <c r="A59" s="294" t="s">
        <v>164</v>
      </c>
      <c r="B59" s="52">
        <f t="shared" ref="B59:C59" si="25">B58*B$33</f>
        <v>0</v>
      </c>
      <c r="C59" s="52">
        <f t="shared" si="25"/>
        <v>0</v>
      </c>
      <c r="D59" s="646">
        <f>D58*D$33</f>
        <v>0</v>
      </c>
      <c r="E59" s="52">
        <f t="shared" ref="E59" si="26">E58*E$33</f>
        <v>0</v>
      </c>
    </row>
    <row r="60" spans="1:16" x14ac:dyDescent="0.2">
      <c r="A60" s="29" t="s">
        <v>165</v>
      </c>
      <c r="B60" s="638"/>
      <c r="C60" s="31"/>
      <c r="D60" s="87"/>
      <c r="E60" s="34"/>
      <c r="G60" s="82"/>
      <c r="H60" s="82"/>
      <c r="I60" s="82"/>
      <c r="J60" s="82"/>
      <c r="K60" s="82"/>
      <c r="L60" s="82"/>
      <c r="M60" s="82"/>
      <c r="N60" s="82"/>
      <c r="O60" s="82"/>
      <c r="P60" s="82"/>
    </row>
    <row r="61" spans="1:16" x14ac:dyDescent="0.2">
      <c r="A61" s="36" t="str">
        <f>A110</f>
        <v>Pilot Upper Limit</v>
      </c>
      <c r="B61" s="145">
        <f>$B110</f>
        <v>12</v>
      </c>
      <c r="C61" s="145">
        <f t="shared" ref="C61:E61" si="27">$B110</f>
        <v>12</v>
      </c>
      <c r="D61" s="656">
        <f t="shared" si="27"/>
        <v>12</v>
      </c>
      <c r="E61" s="145">
        <f t="shared" si="27"/>
        <v>12</v>
      </c>
      <c r="G61" s="82"/>
      <c r="H61" s="61"/>
      <c r="I61" s="446"/>
      <c r="J61" s="446"/>
      <c r="K61" s="446"/>
      <c r="L61" s="446"/>
      <c r="M61" s="82"/>
      <c r="N61" s="82"/>
      <c r="O61" s="82"/>
      <c r="P61" s="82"/>
    </row>
    <row r="62" spans="1:16" x14ac:dyDescent="0.2">
      <c r="A62" s="36" t="str">
        <f t="shared" ref="A62:A92" si="28">A111</f>
        <v>Pilot Lower Limit</v>
      </c>
      <c r="B62" s="146">
        <f>IF($B111 = 0,"N/A",ROUNDUP(IF(B$13="Deploy",MAX((B$104/100)*$B111,$B111),(B$104/100)*$B111),0))</f>
        <v>5</v>
      </c>
      <c r="C62" s="146">
        <f t="shared" ref="C62:E62" si="29">IF($B111 = 0,"N/A",ROUNDUP(IF(C$13="Deploy",MAX((C$104/100)*$B111,$B111),(C$104/100)*$B111),0))</f>
        <v>8</v>
      </c>
      <c r="D62" s="657">
        <f t="shared" si="29"/>
        <v>12</v>
      </c>
      <c r="E62" s="146">
        <f t="shared" si="29"/>
        <v>4</v>
      </c>
      <c r="G62" s="82"/>
      <c r="H62" s="61"/>
      <c r="I62" s="447"/>
      <c r="J62" s="447"/>
      <c r="K62" s="447"/>
      <c r="L62" s="447"/>
      <c r="M62" s="82"/>
      <c r="N62" s="82"/>
      <c r="O62" s="82"/>
      <c r="P62" s="82"/>
    </row>
    <row r="63" spans="1:16" x14ac:dyDescent="0.2">
      <c r="A63" s="36" t="str">
        <f t="shared" si="28"/>
        <v>MRWMC Pilots</v>
      </c>
      <c r="B63" s="146" t="str">
        <f t="shared" ref="B63:B77" si="30">IF($B112 = "NA","NA",ROUNDUP(IF(B$13="Deploy",MAX((B$104/100)*$B112,$B112),(B$104/100)*$B112),0))</f>
        <v>NA</v>
      </c>
      <c r="C63" s="146" t="str">
        <f t="shared" ref="C63:E63" si="31">IF($B112 = "NA","NA",ROUNDUP(IF(C$13="Deploy",MAX((C$104/100)*$B112,$B112),(C$104/100)*$B112),0))</f>
        <v>NA</v>
      </c>
      <c r="D63" s="657" t="str">
        <f t="shared" si="31"/>
        <v>NA</v>
      </c>
      <c r="E63" s="146" t="str">
        <f t="shared" si="31"/>
        <v>NA</v>
      </c>
      <c r="G63" s="82"/>
      <c r="H63" s="61"/>
      <c r="I63" s="447"/>
      <c r="J63" s="447"/>
      <c r="K63" s="447"/>
      <c r="L63" s="447"/>
      <c r="M63" s="82"/>
      <c r="N63" s="82"/>
      <c r="O63" s="82"/>
      <c r="P63" s="82"/>
    </row>
    <row r="64" spans="1:16" x14ac:dyDescent="0.2">
      <c r="A64" s="36" t="str">
        <f t="shared" si="28"/>
        <v>≥ Level 4 Pilots</v>
      </c>
      <c r="B64" s="146" t="str">
        <f t="shared" si="30"/>
        <v>NA</v>
      </c>
      <c r="C64" s="146" t="str">
        <f t="shared" ref="C64:E77" si="32">IF($B113 = "NA","NA",ROUNDUP(IF(C$13="Deploy",MAX((C$104/100)*$B113,$B113),(C$104/100)*$B113),0))</f>
        <v>NA</v>
      </c>
      <c r="D64" s="657" t="str">
        <f t="shared" si="32"/>
        <v>NA</v>
      </c>
      <c r="E64" s="146" t="str">
        <f t="shared" si="32"/>
        <v>NA</v>
      </c>
      <c r="G64" s="82"/>
      <c r="H64" s="61"/>
      <c r="I64" s="447"/>
      <c r="J64" s="447"/>
      <c r="K64" s="447"/>
      <c r="L64" s="447"/>
      <c r="M64" s="82"/>
      <c r="N64" s="82"/>
      <c r="O64" s="82"/>
      <c r="P64" s="82"/>
    </row>
    <row r="65" spans="1:16" x14ac:dyDescent="0.2">
      <c r="A65" s="36" t="str">
        <f t="shared" si="28"/>
        <v>≥ Level 3 Pilots</v>
      </c>
      <c r="B65" s="146" t="str">
        <f t="shared" si="30"/>
        <v>NA</v>
      </c>
      <c r="C65" s="146" t="str">
        <f t="shared" si="32"/>
        <v>NA</v>
      </c>
      <c r="D65" s="657" t="str">
        <f t="shared" si="32"/>
        <v>NA</v>
      </c>
      <c r="E65" s="146" t="str">
        <f t="shared" si="32"/>
        <v>NA</v>
      </c>
      <c r="G65" s="82"/>
      <c r="H65" s="61"/>
      <c r="I65" s="447"/>
      <c r="J65" s="447"/>
      <c r="K65" s="447"/>
      <c r="L65" s="447"/>
      <c r="M65" s="82"/>
      <c r="N65" s="82"/>
      <c r="O65" s="82"/>
      <c r="P65" s="82"/>
    </row>
    <row r="66" spans="1:16" x14ac:dyDescent="0.2">
      <c r="A66" s="36" t="str">
        <f t="shared" si="28"/>
        <v>≥ Level 2 Pilots</v>
      </c>
      <c r="B66" s="146" t="str">
        <f t="shared" si="30"/>
        <v>NA</v>
      </c>
      <c r="C66" s="146" t="str">
        <f t="shared" si="32"/>
        <v>NA</v>
      </c>
      <c r="D66" s="657" t="str">
        <f t="shared" si="32"/>
        <v>NA</v>
      </c>
      <c r="E66" s="146" t="str">
        <f t="shared" si="32"/>
        <v>NA</v>
      </c>
      <c r="G66" s="82"/>
      <c r="H66" s="61"/>
      <c r="I66" s="447"/>
      <c r="J66" s="447"/>
      <c r="K66" s="447"/>
      <c r="L66" s="447"/>
      <c r="M66" s="82"/>
      <c r="N66" s="82"/>
      <c r="O66" s="82"/>
      <c r="P66" s="82"/>
    </row>
    <row r="67" spans="1:16" x14ac:dyDescent="0.2">
      <c r="A67" s="36" t="str">
        <f t="shared" si="28"/>
        <v>≥ Level 1 Pilots</v>
      </c>
      <c r="B67" s="146" t="str">
        <f t="shared" si="30"/>
        <v>NA</v>
      </c>
      <c r="C67" s="146" t="str">
        <f t="shared" si="32"/>
        <v>NA</v>
      </c>
      <c r="D67" s="657" t="str">
        <f t="shared" si="32"/>
        <v>NA</v>
      </c>
      <c r="E67" s="146" t="str">
        <f t="shared" si="32"/>
        <v>NA</v>
      </c>
      <c r="G67" s="82"/>
      <c r="H67" s="61"/>
      <c r="I67" s="447"/>
      <c r="J67" s="447"/>
      <c r="K67" s="447"/>
      <c r="L67" s="447"/>
      <c r="M67" s="82"/>
      <c r="N67" s="82"/>
      <c r="O67" s="82"/>
      <c r="P67" s="82"/>
    </row>
    <row r="68" spans="1:16" x14ac:dyDescent="0.2">
      <c r="A68" s="36" t="str">
        <f t="shared" si="28"/>
        <v>≥ PR/SOF 4 Pilots</v>
      </c>
      <c r="B68" s="146" t="str">
        <f t="shared" si="30"/>
        <v>NA</v>
      </c>
      <c r="C68" s="146" t="str">
        <f t="shared" si="32"/>
        <v>NA</v>
      </c>
      <c r="D68" s="657" t="str">
        <f t="shared" si="32"/>
        <v>NA</v>
      </c>
      <c r="E68" s="146" t="str">
        <f t="shared" si="32"/>
        <v>NA</v>
      </c>
      <c r="G68" s="82"/>
      <c r="H68" s="61"/>
      <c r="I68" s="447"/>
      <c r="J68" s="447"/>
      <c r="K68" s="447"/>
      <c r="L68" s="447"/>
      <c r="M68" s="82"/>
      <c r="N68" s="82"/>
      <c r="O68" s="82"/>
      <c r="P68" s="82"/>
    </row>
    <row r="69" spans="1:16" x14ac:dyDescent="0.2">
      <c r="A69" s="36" t="str">
        <f t="shared" si="28"/>
        <v>≥ PR/SOF 3 Pilots</v>
      </c>
      <c r="B69" s="146" t="str">
        <f t="shared" si="30"/>
        <v>NA</v>
      </c>
      <c r="C69" s="146" t="str">
        <f t="shared" si="32"/>
        <v>NA</v>
      </c>
      <c r="D69" s="657" t="str">
        <f t="shared" si="32"/>
        <v>NA</v>
      </c>
      <c r="E69" s="146" t="str">
        <f t="shared" si="32"/>
        <v>NA</v>
      </c>
      <c r="G69" s="82"/>
      <c r="H69" s="61"/>
      <c r="I69" s="447"/>
      <c r="J69" s="447"/>
      <c r="K69" s="447"/>
      <c r="L69" s="447"/>
      <c r="M69" s="82"/>
      <c r="N69" s="82"/>
      <c r="O69" s="82"/>
      <c r="P69" s="82"/>
    </row>
    <row r="70" spans="1:16" x14ac:dyDescent="0.2">
      <c r="A70" s="36" t="str">
        <f t="shared" si="28"/>
        <v>≥ PR/SOF 2 Pilots</v>
      </c>
      <c r="B70" s="146" t="str">
        <f t="shared" si="30"/>
        <v>NA</v>
      </c>
      <c r="C70" s="146" t="str">
        <f t="shared" si="32"/>
        <v>NA</v>
      </c>
      <c r="D70" s="657" t="str">
        <f t="shared" si="32"/>
        <v>NA</v>
      </c>
      <c r="E70" s="146" t="str">
        <f t="shared" si="32"/>
        <v>NA</v>
      </c>
      <c r="G70" s="82"/>
      <c r="H70" s="61"/>
      <c r="I70" s="447"/>
      <c r="J70" s="447"/>
      <c r="K70" s="447"/>
      <c r="L70" s="447"/>
      <c r="M70" s="82"/>
      <c r="N70" s="82"/>
      <c r="O70" s="82"/>
      <c r="P70" s="82"/>
    </row>
    <row r="71" spans="1:16" x14ac:dyDescent="0.2">
      <c r="A71" s="36" t="str">
        <f t="shared" si="28"/>
        <v>≥ PR/SOF 1 Pilots</v>
      </c>
      <c r="B71" s="146" t="str">
        <f t="shared" si="30"/>
        <v>NA</v>
      </c>
      <c r="C71" s="146" t="str">
        <f t="shared" si="32"/>
        <v>NA</v>
      </c>
      <c r="D71" s="657" t="str">
        <f t="shared" si="32"/>
        <v>NA</v>
      </c>
      <c r="E71" s="146" t="str">
        <f t="shared" si="32"/>
        <v>NA</v>
      </c>
      <c r="G71" s="82"/>
      <c r="H71" s="61"/>
      <c r="I71" s="447"/>
      <c r="J71" s="447"/>
      <c r="K71" s="447"/>
      <c r="L71" s="447"/>
      <c r="M71" s="82"/>
      <c r="N71" s="82"/>
      <c r="O71" s="82"/>
      <c r="P71" s="82"/>
    </row>
    <row r="72" spans="1:16" x14ac:dyDescent="0.2">
      <c r="A72" s="36" t="str">
        <f t="shared" si="28"/>
        <v>≥ MIW Level 2 Pilots</v>
      </c>
      <c r="B72" s="146" t="str">
        <f t="shared" si="30"/>
        <v>NA</v>
      </c>
      <c r="C72" s="146" t="str">
        <f t="shared" si="32"/>
        <v>NA</v>
      </c>
      <c r="D72" s="657" t="str">
        <f t="shared" si="32"/>
        <v>NA</v>
      </c>
      <c r="E72" s="146" t="str">
        <f t="shared" si="32"/>
        <v>NA</v>
      </c>
      <c r="G72" s="82"/>
      <c r="H72" s="82"/>
      <c r="I72" s="82"/>
      <c r="J72" s="82"/>
      <c r="K72" s="82"/>
      <c r="L72" s="82"/>
      <c r="M72" s="82"/>
      <c r="N72" s="82"/>
      <c r="O72" s="82"/>
      <c r="P72" s="82"/>
    </row>
    <row r="73" spans="1:16" x14ac:dyDescent="0.2">
      <c r="A73" s="36" t="str">
        <f t="shared" si="28"/>
        <v>≥ MIW Level 1 Pilots</v>
      </c>
      <c r="B73" s="146" t="str">
        <f t="shared" si="30"/>
        <v>NA</v>
      </c>
      <c r="C73" s="146" t="str">
        <f t="shared" si="32"/>
        <v>NA</v>
      </c>
      <c r="D73" s="657" t="str">
        <f t="shared" si="32"/>
        <v>NA</v>
      </c>
      <c r="E73" s="146" t="str">
        <f t="shared" si="32"/>
        <v>NA</v>
      </c>
      <c r="G73" s="82"/>
      <c r="H73" s="82"/>
      <c r="I73" s="82"/>
      <c r="J73" s="82"/>
      <c r="K73" s="82"/>
      <c r="L73" s="82"/>
      <c r="M73" s="82"/>
      <c r="N73" s="82"/>
      <c r="O73" s="82"/>
      <c r="P73" s="82"/>
    </row>
    <row r="74" spans="1:16" x14ac:dyDescent="0.2">
      <c r="A74" s="36" t="str">
        <f t="shared" si="28"/>
        <v>≥ TAC Level 4 Pilots</v>
      </c>
      <c r="B74" s="146">
        <f t="shared" si="30"/>
        <v>1</v>
      </c>
      <c r="C74" s="146">
        <f t="shared" si="32"/>
        <v>2</v>
      </c>
      <c r="D74" s="657">
        <f t="shared" si="32"/>
        <v>2</v>
      </c>
      <c r="E74" s="146">
        <f t="shared" si="32"/>
        <v>1</v>
      </c>
    </row>
    <row r="75" spans="1:16" x14ac:dyDescent="0.2">
      <c r="A75" s="36" t="str">
        <f t="shared" si="28"/>
        <v>≥ TAC Level 3 Pilots</v>
      </c>
      <c r="B75" s="146">
        <f t="shared" si="30"/>
        <v>3</v>
      </c>
      <c r="C75" s="146">
        <f t="shared" si="32"/>
        <v>4</v>
      </c>
      <c r="D75" s="657">
        <f t="shared" si="32"/>
        <v>6</v>
      </c>
      <c r="E75" s="146">
        <f t="shared" si="32"/>
        <v>2</v>
      </c>
    </row>
    <row r="76" spans="1:16" x14ac:dyDescent="0.2">
      <c r="A76" s="36" t="str">
        <f t="shared" si="28"/>
        <v>≥ TAC Level 2 Pilots</v>
      </c>
      <c r="B76" s="146">
        <f t="shared" si="30"/>
        <v>5</v>
      </c>
      <c r="C76" s="146">
        <f t="shared" si="32"/>
        <v>8</v>
      </c>
      <c r="D76" s="657">
        <f t="shared" si="32"/>
        <v>12</v>
      </c>
      <c r="E76" s="146">
        <f t="shared" si="32"/>
        <v>4</v>
      </c>
    </row>
    <row r="77" spans="1:16" x14ac:dyDescent="0.2">
      <c r="A77" s="36" t="str">
        <f t="shared" si="28"/>
        <v>Mountain Flying School Pilots</v>
      </c>
      <c r="B77" s="146" t="str">
        <f t="shared" si="30"/>
        <v>NA</v>
      </c>
      <c r="C77" s="146" t="str">
        <f t="shared" si="32"/>
        <v>NA</v>
      </c>
      <c r="D77" s="657" t="str">
        <f t="shared" si="32"/>
        <v>NA</v>
      </c>
      <c r="E77" s="146" t="str">
        <f t="shared" si="32"/>
        <v>NA</v>
      </c>
    </row>
    <row r="78" spans="1:16" x14ac:dyDescent="0.2">
      <c r="A78" s="36" t="str">
        <f t="shared" si="28"/>
        <v>Aircrew Upper Limit</v>
      </c>
      <c r="B78" s="146">
        <f>$B$127</f>
        <v>12</v>
      </c>
      <c r="C78" s="146">
        <f t="shared" ref="C78:E78" si="33">$B$127</f>
        <v>12</v>
      </c>
      <c r="D78" s="657">
        <f t="shared" si="33"/>
        <v>12</v>
      </c>
      <c r="E78" s="146">
        <f t="shared" si="33"/>
        <v>12</v>
      </c>
    </row>
    <row r="79" spans="1:16" x14ac:dyDescent="0.2">
      <c r="A79" s="36" t="str">
        <f t="shared" si="28"/>
        <v>Aircrew Lower Limit</v>
      </c>
      <c r="B79" s="146">
        <f t="shared" ref="B79:E92" si="34">IF($B128 = "NA","NA",ROUNDUP(IF(B$13="Deploy",MAX((B$104/100)*$B128,$B128),(B$104/100)*$B128),0))</f>
        <v>5</v>
      </c>
      <c r="C79" s="146">
        <f t="shared" si="34"/>
        <v>8</v>
      </c>
      <c r="D79" s="657">
        <f t="shared" si="34"/>
        <v>12</v>
      </c>
      <c r="E79" s="146">
        <f t="shared" si="34"/>
        <v>4</v>
      </c>
    </row>
    <row r="80" spans="1:16" x14ac:dyDescent="0.2">
      <c r="A80" s="36" t="str">
        <f t="shared" si="28"/>
        <v>≥ Level 3 Aircrewmen</v>
      </c>
      <c r="B80" s="146" t="str">
        <f t="shared" si="34"/>
        <v>NA</v>
      </c>
      <c r="C80" s="146" t="str">
        <f t="shared" si="34"/>
        <v>NA</v>
      </c>
      <c r="D80" s="657" t="str">
        <f t="shared" si="34"/>
        <v>NA</v>
      </c>
      <c r="E80" s="146" t="str">
        <f t="shared" si="34"/>
        <v>NA</v>
      </c>
    </row>
    <row r="81" spans="1:8" x14ac:dyDescent="0.2">
      <c r="A81" s="36" t="str">
        <f t="shared" si="28"/>
        <v>≥ Level 2 Aircrewmen</v>
      </c>
      <c r="B81" s="146" t="str">
        <f t="shared" si="34"/>
        <v>NA</v>
      </c>
      <c r="C81" s="146" t="str">
        <f t="shared" si="34"/>
        <v>NA</v>
      </c>
      <c r="D81" s="657" t="str">
        <f t="shared" si="34"/>
        <v>NA</v>
      </c>
      <c r="E81" s="146" t="str">
        <f t="shared" si="34"/>
        <v>NA</v>
      </c>
    </row>
    <row r="82" spans="1:8" x14ac:dyDescent="0.2">
      <c r="A82" s="36" t="str">
        <f t="shared" si="28"/>
        <v>≥ Level 1 Aircrewmen</v>
      </c>
      <c r="B82" s="146" t="str">
        <f t="shared" si="34"/>
        <v>NA</v>
      </c>
      <c r="C82" s="146" t="str">
        <f t="shared" si="34"/>
        <v>NA</v>
      </c>
      <c r="D82" s="657" t="str">
        <f t="shared" si="34"/>
        <v>NA</v>
      </c>
      <c r="E82" s="146" t="str">
        <f t="shared" si="34"/>
        <v>NA</v>
      </c>
    </row>
    <row r="83" spans="1:8" x14ac:dyDescent="0.2">
      <c r="A83" s="36" t="str">
        <f t="shared" si="28"/>
        <v>≥ PR/SOF 3 Aircrewmen</v>
      </c>
      <c r="B83" s="146" t="str">
        <f t="shared" si="34"/>
        <v>NA</v>
      </c>
      <c r="C83" s="146" t="str">
        <f t="shared" si="34"/>
        <v>NA</v>
      </c>
      <c r="D83" s="657" t="str">
        <f t="shared" si="34"/>
        <v>NA</v>
      </c>
      <c r="E83" s="146" t="str">
        <f t="shared" si="34"/>
        <v>NA</v>
      </c>
    </row>
    <row r="84" spans="1:8" x14ac:dyDescent="0.2">
      <c r="A84" s="36" t="str">
        <f t="shared" si="28"/>
        <v>≥ MIW Level 2 Aircrewmen</v>
      </c>
      <c r="B84" s="146" t="str">
        <f t="shared" si="34"/>
        <v>NA</v>
      </c>
      <c r="C84" s="146" t="str">
        <f t="shared" si="34"/>
        <v>NA</v>
      </c>
      <c r="D84" s="657" t="str">
        <f t="shared" si="34"/>
        <v>NA</v>
      </c>
      <c r="E84" s="146" t="str">
        <f t="shared" si="34"/>
        <v>NA</v>
      </c>
    </row>
    <row r="85" spans="1:8" x14ac:dyDescent="0.2">
      <c r="A85" s="36" t="str">
        <f t="shared" si="28"/>
        <v>≥ MIW Level 1 Aircrewmen</v>
      </c>
      <c r="B85" s="146" t="str">
        <f t="shared" si="34"/>
        <v>NA</v>
      </c>
      <c r="C85" s="146" t="str">
        <f t="shared" si="34"/>
        <v>NA</v>
      </c>
      <c r="D85" s="657" t="str">
        <f t="shared" si="34"/>
        <v>NA</v>
      </c>
      <c r="E85" s="146" t="str">
        <f t="shared" si="34"/>
        <v>NA</v>
      </c>
    </row>
    <row r="86" spans="1:8" x14ac:dyDescent="0.2">
      <c r="A86" s="36" t="str">
        <f t="shared" si="28"/>
        <v>≥ TAC Level 3 Aircrewmen</v>
      </c>
      <c r="B86" s="146">
        <f t="shared" si="34"/>
        <v>3</v>
      </c>
      <c r="C86" s="146">
        <f t="shared" si="34"/>
        <v>4</v>
      </c>
      <c r="D86" s="657">
        <f t="shared" si="34"/>
        <v>6</v>
      </c>
      <c r="E86" s="146">
        <f t="shared" si="34"/>
        <v>2</v>
      </c>
    </row>
    <row r="87" spans="1:8" x14ac:dyDescent="0.2">
      <c r="A87" s="36" t="str">
        <f t="shared" si="28"/>
        <v>≥ TAC Level 2 Aircrewmen</v>
      </c>
      <c r="B87" s="146">
        <f t="shared" si="34"/>
        <v>5</v>
      </c>
      <c r="C87" s="146">
        <f t="shared" si="34"/>
        <v>8</v>
      </c>
      <c r="D87" s="657">
        <f t="shared" si="34"/>
        <v>12</v>
      </c>
      <c r="E87" s="146">
        <f t="shared" si="34"/>
        <v>4</v>
      </c>
    </row>
    <row r="88" spans="1:8" x14ac:dyDescent="0.2">
      <c r="A88" s="36" t="str">
        <f t="shared" si="28"/>
        <v>Aerial Gunnery Instructor (AGI) Aircrewmen</v>
      </c>
      <c r="B88" s="146" t="str">
        <f t="shared" si="34"/>
        <v>NA</v>
      </c>
      <c r="C88" s="146" t="str">
        <f t="shared" si="34"/>
        <v>NA</v>
      </c>
      <c r="D88" s="657" t="str">
        <f t="shared" si="34"/>
        <v>NA</v>
      </c>
      <c r="E88" s="146" t="str">
        <f t="shared" si="34"/>
        <v>NA</v>
      </c>
    </row>
    <row r="89" spans="1:8" x14ac:dyDescent="0.2">
      <c r="A89" s="36" t="str">
        <f t="shared" si="28"/>
        <v>Aerial Gunner (AG) Aircrewmen</v>
      </c>
      <c r="B89" s="146" t="str">
        <f t="shared" si="34"/>
        <v>NA</v>
      </c>
      <c r="C89" s="146" t="str">
        <f t="shared" si="34"/>
        <v>NA</v>
      </c>
      <c r="D89" s="657" t="str">
        <f t="shared" si="34"/>
        <v>NA</v>
      </c>
      <c r="E89" s="146" t="str">
        <f t="shared" si="34"/>
        <v>NA</v>
      </c>
    </row>
    <row r="90" spans="1:8" x14ac:dyDescent="0.2">
      <c r="A90" s="36" t="str">
        <f t="shared" si="28"/>
        <v>Mountain Flying School Aircrewmen</v>
      </c>
      <c r="B90" s="146" t="str">
        <f t="shared" si="34"/>
        <v>NA</v>
      </c>
      <c r="C90" s="146" t="str">
        <f t="shared" si="34"/>
        <v>NA</v>
      </c>
      <c r="D90" s="657" t="str">
        <f t="shared" si="34"/>
        <v>NA</v>
      </c>
      <c r="E90" s="146" t="str">
        <f t="shared" si="34"/>
        <v>NA</v>
      </c>
    </row>
    <row r="91" spans="1:8" x14ac:dyDescent="0.2">
      <c r="A91" s="36" t="str">
        <f t="shared" si="28"/>
        <v>≥ HM (Paramedic) Aircrewmen</v>
      </c>
      <c r="B91" s="146">
        <f t="shared" si="34"/>
        <v>1</v>
      </c>
      <c r="C91" s="146">
        <f t="shared" si="34"/>
        <v>1</v>
      </c>
      <c r="D91" s="657">
        <f t="shared" si="34"/>
        <v>1</v>
      </c>
      <c r="E91" s="146">
        <f t="shared" si="34"/>
        <v>1</v>
      </c>
    </row>
    <row r="92" spans="1:8" x14ac:dyDescent="0.2">
      <c r="A92" s="36" t="str">
        <f t="shared" si="28"/>
        <v>Required Skilled Crews</v>
      </c>
      <c r="B92" s="146">
        <f t="shared" si="34"/>
        <v>3</v>
      </c>
      <c r="C92" s="146">
        <f t="shared" si="34"/>
        <v>4</v>
      </c>
      <c r="D92" s="657">
        <f t="shared" si="34"/>
        <v>6</v>
      </c>
      <c r="E92" s="146">
        <f t="shared" si="34"/>
        <v>2</v>
      </c>
    </row>
    <row r="93" spans="1:8" x14ac:dyDescent="0.2">
      <c r="A93" s="68"/>
      <c r="B93" s="68"/>
      <c r="C93" s="68"/>
      <c r="D93" s="68"/>
      <c r="F93" s="68"/>
      <c r="G93" s="68"/>
      <c r="H93" s="62"/>
    </row>
    <row r="94" spans="1:8" x14ac:dyDescent="0.2">
      <c r="A94" s="68"/>
      <c r="B94" s="68"/>
      <c r="C94" s="68"/>
      <c r="D94" s="68"/>
      <c r="F94" s="68"/>
      <c r="G94" s="68"/>
      <c r="H94" s="62"/>
    </row>
    <row r="95" spans="1:8" x14ac:dyDescent="0.2">
      <c r="A95" s="68"/>
      <c r="B95" s="68"/>
      <c r="C95" s="68"/>
      <c r="D95" s="68"/>
      <c r="F95" s="68"/>
      <c r="G95" s="68"/>
      <c r="H95" s="62"/>
    </row>
    <row r="96" spans="1:8" x14ac:dyDescent="0.2">
      <c r="A96" s="68"/>
      <c r="B96" s="68"/>
      <c r="C96" s="68"/>
      <c r="D96" s="68"/>
      <c r="F96" s="68"/>
      <c r="G96" s="68"/>
      <c r="H96" s="62"/>
    </row>
    <row r="97" spans="1:21" ht="12.75" thickBot="1" x14ac:dyDescent="0.25">
      <c r="A97" s="68"/>
      <c r="B97" s="68"/>
      <c r="C97" s="68"/>
      <c r="D97" s="68"/>
      <c r="F97" s="68"/>
      <c r="G97" s="68"/>
      <c r="H97" s="62"/>
    </row>
    <row r="98" spans="1:21" ht="13.5" customHeight="1" thickBot="1" x14ac:dyDescent="0.25">
      <c r="A98" s="773" t="s">
        <v>170</v>
      </c>
      <c r="B98" s="774"/>
      <c r="C98" s="774"/>
      <c r="D98" s="774"/>
      <c r="E98" s="775"/>
      <c r="F98" s="107"/>
      <c r="G98" s="107"/>
      <c r="H98" s="107"/>
    </row>
    <row r="99" spans="1:21" x14ac:dyDescent="0.2">
      <c r="A99" s="375" t="s">
        <v>171</v>
      </c>
      <c r="B99" s="376">
        <f>MIN(100,B101+$B$105)</f>
        <v>26.5</v>
      </c>
      <c r="C99" s="377">
        <f t="shared" ref="C99:E99" si="35">MIN(100,C101+$B$105)</f>
        <v>81.5</v>
      </c>
      <c r="D99" s="376">
        <f t="shared" si="35"/>
        <v>100</v>
      </c>
      <c r="E99" s="378">
        <f t="shared" si="35"/>
        <v>51.5</v>
      </c>
      <c r="F99" s="108"/>
      <c r="G99" s="108"/>
      <c r="H99" s="108"/>
    </row>
    <row r="100" spans="1:21" x14ac:dyDescent="0.2">
      <c r="A100" s="379" t="s">
        <v>172</v>
      </c>
      <c r="B100" s="380">
        <f>MIN(100,B101+$B$106)</f>
        <v>20</v>
      </c>
      <c r="C100" s="381">
        <f t="shared" ref="C100:E100" si="36">MIN(100,C101+$B$106)</f>
        <v>75</v>
      </c>
      <c r="D100" s="380">
        <f t="shared" si="36"/>
        <v>100</v>
      </c>
      <c r="E100" s="382">
        <f t="shared" si="36"/>
        <v>45</v>
      </c>
      <c r="F100" s="108"/>
      <c r="G100" s="108"/>
      <c r="H100" s="108"/>
    </row>
    <row r="101" spans="1:21" x14ac:dyDescent="0.2">
      <c r="A101" s="379" t="s">
        <v>173</v>
      </c>
      <c r="B101" s="383">
        <v>5</v>
      </c>
      <c r="C101" s="384">
        <v>60</v>
      </c>
      <c r="D101" s="383">
        <v>100</v>
      </c>
      <c r="E101" s="199">
        <v>30</v>
      </c>
      <c r="F101" s="109"/>
      <c r="G101" s="109"/>
      <c r="H101" s="109"/>
      <c r="I101" s="100"/>
      <c r="J101" s="100"/>
      <c r="K101" s="100"/>
      <c r="L101" s="100"/>
      <c r="M101" s="100"/>
      <c r="N101" s="100"/>
    </row>
    <row r="102" spans="1:21" s="72" customFormat="1" x14ac:dyDescent="0.2">
      <c r="A102" s="379" t="s">
        <v>174</v>
      </c>
      <c r="B102" s="380">
        <f>MIN(80,IF(B13="Deploy",80,MAX(0,B101-$B$106)))</f>
        <v>0</v>
      </c>
      <c r="C102" s="381">
        <f>MIN(80,IF(C13="Deploy",80,MAX(0,C101-$B$106)))</f>
        <v>45</v>
      </c>
      <c r="D102" s="380">
        <f>MIN(80,IF(D13="Deploy",80,MAX(0,D101-$B$106)))</f>
        <v>80</v>
      </c>
      <c r="E102" s="382">
        <f>MIN(80,IF(E13="Deploy",80,MAX(0,E101-$B$106)))</f>
        <v>15</v>
      </c>
      <c r="F102" s="108"/>
      <c r="G102" s="108"/>
      <c r="H102" s="108"/>
      <c r="I102" s="28"/>
      <c r="J102" s="28"/>
      <c r="K102" s="28"/>
      <c r="L102" s="28"/>
      <c r="M102" s="28"/>
      <c r="N102" s="28"/>
      <c r="O102" s="28"/>
      <c r="P102" s="28"/>
      <c r="Q102" s="28"/>
      <c r="R102" s="28"/>
      <c r="S102" s="28"/>
      <c r="T102" s="28"/>
      <c r="U102" s="28"/>
    </row>
    <row r="103" spans="1:21" s="72" customFormat="1" ht="12.75" thickBot="1" x14ac:dyDescent="0.25">
      <c r="A103" s="385" t="s">
        <v>175</v>
      </c>
      <c r="B103" s="386">
        <f>MIN(60,IF(B13="Deploy",60,MAX(0,B101-$B$105)))</f>
        <v>0</v>
      </c>
      <c r="C103" s="387">
        <f>MIN(60,IF(C13="Deploy",60,MAX(0,C101-$B$105)))</f>
        <v>38.5</v>
      </c>
      <c r="D103" s="386">
        <f>MIN(60,IF(D13="Deploy",60,MAX(0,D101-$B$105)))</f>
        <v>60</v>
      </c>
      <c r="E103" s="388">
        <f>MIN(60,IF(E13="Deploy",60,MAX(0,E101-$B$105)))</f>
        <v>8.5</v>
      </c>
      <c r="F103" s="108"/>
      <c r="G103" s="108"/>
      <c r="H103" s="108"/>
      <c r="I103" s="28"/>
      <c r="J103" s="28"/>
      <c r="K103" s="28"/>
      <c r="L103" s="28"/>
      <c r="M103" s="28"/>
      <c r="N103" s="28"/>
      <c r="O103" s="28"/>
      <c r="P103" s="28"/>
      <c r="Q103" s="28"/>
      <c r="R103" s="28"/>
      <c r="S103" s="28"/>
      <c r="T103" s="28"/>
      <c r="U103" s="28"/>
    </row>
    <row r="104" spans="1:21" s="72" customFormat="1" ht="12.75" thickBot="1" x14ac:dyDescent="0.25">
      <c r="A104" s="389" t="s">
        <v>176</v>
      </c>
      <c r="B104" s="222">
        <v>37</v>
      </c>
      <c r="C104" s="390">
        <v>60</v>
      </c>
      <c r="D104" s="222">
        <v>100</v>
      </c>
      <c r="E104" s="391">
        <v>30</v>
      </c>
      <c r="F104" s="108"/>
      <c r="G104" s="108"/>
      <c r="H104" s="108"/>
      <c r="I104" s="28"/>
      <c r="J104" s="28"/>
      <c r="K104" s="28"/>
      <c r="L104" s="28"/>
      <c r="M104" s="28"/>
      <c r="N104" s="28"/>
      <c r="O104" s="28"/>
      <c r="P104" s="28"/>
      <c r="Q104" s="28"/>
      <c r="R104" s="28"/>
      <c r="S104" s="28"/>
      <c r="T104" s="28"/>
      <c r="U104" s="28"/>
    </row>
    <row r="105" spans="1:21" s="72" customFormat="1" x14ac:dyDescent="0.2">
      <c r="A105" s="392" t="s">
        <v>177</v>
      </c>
      <c r="B105" s="393">
        <v>21.5</v>
      </c>
      <c r="C105" s="124"/>
      <c r="D105" s="394"/>
      <c r="E105" s="124"/>
      <c r="F105" s="61"/>
      <c r="G105" s="61"/>
      <c r="H105" s="61"/>
      <c r="I105" s="28"/>
    </row>
    <row r="106" spans="1:21" s="72" customFormat="1" ht="12.75" thickBot="1" x14ac:dyDescent="0.25">
      <c r="A106" s="395" t="s">
        <v>178</v>
      </c>
      <c r="B106" s="396">
        <v>15</v>
      </c>
      <c r="C106" s="124"/>
      <c r="D106" s="394"/>
      <c r="E106" s="27"/>
      <c r="F106" s="28"/>
      <c r="G106" s="28"/>
      <c r="H106" s="28"/>
      <c r="I106" s="28"/>
    </row>
    <row r="107" spans="1:21" s="72" customFormat="1" ht="12.75" thickBot="1" x14ac:dyDescent="0.25">
      <c r="A107" s="40"/>
      <c r="B107" s="40"/>
      <c r="C107" s="40"/>
      <c r="D107" s="40"/>
      <c r="E107" s="40"/>
      <c r="F107" s="40"/>
      <c r="G107" s="40"/>
      <c r="H107" s="40"/>
      <c r="I107" s="28"/>
    </row>
    <row r="108" spans="1:21" s="72" customFormat="1" ht="13.5" customHeight="1" thickBot="1" x14ac:dyDescent="0.25">
      <c r="A108" s="776" t="s">
        <v>179</v>
      </c>
      <c r="B108" s="777"/>
      <c r="C108" s="397"/>
      <c r="D108" s="397"/>
      <c r="E108" s="61"/>
      <c r="F108" s="61"/>
      <c r="G108" s="61"/>
      <c r="H108" s="61"/>
      <c r="I108" s="28"/>
    </row>
    <row r="109" spans="1:21" s="72" customFormat="1" ht="13.5" customHeight="1" thickBot="1" x14ac:dyDescent="0.25">
      <c r="A109" s="782" t="s">
        <v>180</v>
      </c>
      <c r="B109" s="783"/>
      <c r="C109" s="398"/>
      <c r="D109" s="398"/>
      <c r="E109" s="61"/>
      <c r="F109" s="61"/>
      <c r="G109" s="61"/>
      <c r="H109" s="61"/>
      <c r="I109" s="28"/>
    </row>
    <row r="110" spans="1:21" s="72" customFormat="1" ht="12.75" thickTop="1" x14ac:dyDescent="0.2">
      <c r="A110" s="88" t="s">
        <v>181</v>
      </c>
      <c r="B110" s="399">
        <v>12</v>
      </c>
      <c r="C110" s="121"/>
      <c r="D110" s="469"/>
      <c r="E110" s="469"/>
      <c r="F110" s="28"/>
      <c r="G110" s="28"/>
      <c r="H110" s="28"/>
      <c r="I110" s="28"/>
    </row>
    <row r="111" spans="1:21" s="72" customFormat="1" x14ac:dyDescent="0.2">
      <c r="A111" s="90" t="s">
        <v>182</v>
      </c>
      <c r="B111" s="91">
        <v>12</v>
      </c>
      <c r="C111" s="121"/>
      <c r="D111" s="469"/>
      <c r="E111" s="469"/>
      <c r="F111" s="28"/>
      <c r="G111" s="28"/>
      <c r="H111" s="28"/>
      <c r="I111" s="28"/>
    </row>
    <row r="112" spans="1:21" s="72" customFormat="1" x14ac:dyDescent="0.2">
      <c r="A112" s="90" t="s">
        <v>183</v>
      </c>
      <c r="B112" s="91" t="s">
        <v>193</v>
      </c>
      <c r="C112" s="121"/>
      <c r="D112" s="469"/>
      <c r="E112" s="469"/>
      <c r="F112" s="28"/>
      <c r="I112" s="28"/>
    </row>
    <row r="113" spans="1:9" s="72" customFormat="1" x14ac:dyDescent="0.2">
      <c r="A113" s="90" t="s">
        <v>184</v>
      </c>
      <c r="B113" s="91" t="s">
        <v>193</v>
      </c>
      <c r="C113" s="121"/>
      <c r="D113" s="469"/>
      <c r="E113" s="469"/>
      <c r="F113" s="28"/>
      <c r="I113" s="28"/>
    </row>
    <row r="114" spans="1:9" s="72" customFormat="1" x14ac:dyDescent="0.2">
      <c r="A114" s="90" t="s">
        <v>185</v>
      </c>
      <c r="B114" s="91" t="s">
        <v>193</v>
      </c>
      <c r="C114" s="121"/>
      <c r="D114" s="469"/>
      <c r="E114" s="469"/>
      <c r="F114" s="63"/>
      <c r="I114" s="28"/>
    </row>
    <row r="115" spans="1:9" s="72" customFormat="1" x14ac:dyDescent="0.2">
      <c r="A115" s="90" t="s">
        <v>186</v>
      </c>
      <c r="B115" s="91" t="s">
        <v>193</v>
      </c>
      <c r="C115" s="121"/>
      <c r="D115" s="469"/>
      <c r="E115" s="469"/>
      <c r="F115" s="75"/>
      <c r="I115" s="28"/>
    </row>
    <row r="116" spans="1:9" s="72" customFormat="1" x14ac:dyDescent="0.2">
      <c r="A116" s="90" t="s">
        <v>187</v>
      </c>
      <c r="B116" s="91" t="s">
        <v>193</v>
      </c>
      <c r="C116" s="121"/>
      <c r="D116" s="469"/>
      <c r="E116" s="469"/>
      <c r="F116" s="75"/>
      <c r="I116" s="28"/>
    </row>
    <row r="117" spans="1:9" s="72" customFormat="1" x14ac:dyDescent="0.2">
      <c r="A117" s="90" t="s">
        <v>188</v>
      </c>
      <c r="B117" s="91" t="s">
        <v>193</v>
      </c>
      <c r="C117" s="121"/>
      <c r="D117" s="469"/>
      <c r="E117" s="469"/>
      <c r="F117" s="28"/>
      <c r="I117" s="28"/>
    </row>
    <row r="118" spans="1:9" s="72" customFormat="1" x14ac:dyDescent="0.2">
      <c r="A118" s="90" t="s">
        <v>189</v>
      </c>
      <c r="B118" s="91" t="s">
        <v>193</v>
      </c>
      <c r="C118" s="121"/>
      <c r="D118" s="469"/>
      <c r="E118" s="469"/>
      <c r="F118" s="28"/>
      <c r="I118" s="28"/>
    </row>
    <row r="119" spans="1:9" s="72" customFormat="1" x14ac:dyDescent="0.2">
      <c r="A119" s="90" t="s">
        <v>190</v>
      </c>
      <c r="B119" s="91" t="s">
        <v>193</v>
      </c>
      <c r="C119" s="121"/>
      <c r="D119" s="469"/>
      <c r="E119" s="469"/>
      <c r="F119" s="28"/>
      <c r="I119" s="28"/>
    </row>
    <row r="120" spans="1:9" s="62" customFormat="1" x14ac:dyDescent="0.2">
      <c r="A120" s="90" t="s">
        <v>191</v>
      </c>
      <c r="B120" s="91" t="s">
        <v>193</v>
      </c>
      <c r="C120" s="121"/>
      <c r="D120" s="469"/>
      <c r="E120" s="469"/>
      <c r="F120" s="61"/>
      <c r="G120" s="61"/>
      <c r="H120" s="61"/>
      <c r="I120" s="61"/>
    </row>
    <row r="121" spans="1:9" s="62" customFormat="1" x14ac:dyDescent="0.2">
      <c r="A121" s="90" t="s">
        <v>192</v>
      </c>
      <c r="B121" s="91" t="s">
        <v>193</v>
      </c>
      <c r="C121" s="121"/>
      <c r="D121" s="469"/>
      <c r="E121" s="469"/>
      <c r="F121" s="61"/>
      <c r="G121" s="61"/>
      <c r="H121" s="61"/>
      <c r="I121" s="61"/>
    </row>
    <row r="122" spans="1:9" s="62" customFormat="1" x14ac:dyDescent="0.2">
      <c r="A122" s="90" t="s">
        <v>194</v>
      </c>
      <c r="B122" s="91" t="s">
        <v>193</v>
      </c>
      <c r="C122" s="121"/>
      <c r="D122" s="469"/>
      <c r="E122" s="469"/>
      <c r="F122" s="61"/>
      <c r="G122" s="61"/>
      <c r="H122" s="61"/>
      <c r="I122" s="61"/>
    </row>
    <row r="123" spans="1:9" s="62" customFormat="1" x14ac:dyDescent="0.2">
      <c r="A123" s="90" t="s">
        <v>195</v>
      </c>
      <c r="B123" s="91">
        <v>2</v>
      </c>
      <c r="C123" s="121"/>
      <c r="D123" s="469"/>
      <c r="E123" s="469"/>
      <c r="F123" s="61"/>
      <c r="G123" s="61"/>
      <c r="H123" s="61"/>
      <c r="I123" s="61"/>
    </row>
    <row r="124" spans="1:9" s="62" customFormat="1" x14ac:dyDescent="0.2">
      <c r="A124" s="90" t="s">
        <v>196</v>
      </c>
      <c r="B124" s="91">
        <v>6</v>
      </c>
      <c r="C124" s="121"/>
      <c r="D124" s="469"/>
      <c r="E124" s="469"/>
      <c r="F124" s="61"/>
      <c r="G124" s="61"/>
      <c r="H124" s="61"/>
      <c r="I124" s="61"/>
    </row>
    <row r="125" spans="1:9" s="62" customFormat="1" x14ac:dyDescent="0.2">
      <c r="A125" s="90" t="s">
        <v>197</v>
      </c>
      <c r="B125" s="91">
        <v>12</v>
      </c>
      <c r="C125" s="121"/>
      <c r="D125" s="469"/>
      <c r="E125" s="469"/>
      <c r="F125" s="61"/>
      <c r="G125" s="61"/>
      <c r="H125" s="61"/>
      <c r="I125" s="61"/>
    </row>
    <row r="126" spans="1:9" s="62" customFormat="1" x14ac:dyDescent="0.2">
      <c r="A126" s="90" t="s">
        <v>198</v>
      </c>
      <c r="B126" s="91" t="s">
        <v>193</v>
      </c>
      <c r="C126" s="121"/>
      <c r="D126" s="469"/>
      <c r="E126" s="469"/>
      <c r="F126" s="61"/>
      <c r="G126" s="61"/>
      <c r="H126" s="61"/>
      <c r="I126" s="61"/>
    </row>
    <row r="127" spans="1:9" s="62" customFormat="1" x14ac:dyDescent="0.2">
      <c r="A127" s="90" t="s">
        <v>199</v>
      </c>
      <c r="B127" s="91">
        <v>12</v>
      </c>
      <c r="C127" s="121"/>
      <c r="D127" s="469"/>
      <c r="E127" s="469"/>
      <c r="F127" s="61"/>
      <c r="G127" s="61"/>
      <c r="H127" s="61"/>
      <c r="I127" s="61"/>
    </row>
    <row r="128" spans="1:9" s="62" customFormat="1" x14ac:dyDescent="0.2">
      <c r="A128" s="90" t="s">
        <v>200</v>
      </c>
      <c r="B128" s="91">
        <v>12</v>
      </c>
      <c r="C128" s="121"/>
      <c r="D128" s="469"/>
      <c r="E128" s="469"/>
      <c r="F128" s="61"/>
      <c r="G128" s="61"/>
      <c r="H128" s="61"/>
      <c r="I128" s="61"/>
    </row>
    <row r="129" spans="1:9" s="62" customFormat="1" x14ac:dyDescent="0.2">
      <c r="A129" s="90" t="s">
        <v>201</v>
      </c>
      <c r="B129" s="91" t="s">
        <v>193</v>
      </c>
      <c r="C129" s="121"/>
      <c r="D129" s="469"/>
      <c r="E129" s="469"/>
      <c r="F129" s="61"/>
      <c r="G129" s="61"/>
      <c r="H129" s="61"/>
      <c r="I129" s="61"/>
    </row>
    <row r="130" spans="1:9" s="62" customFormat="1" x14ac:dyDescent="0.2">
      <c r="A130" s="90" t="s">
        <v>202</v>
      </c>
      <c r="B130" s="91" t="s">
        <v>193</v>
      </c>
      <c r="C130" s="121"/>
      <c r="D130" s="469"/>
      <c r="E130" s="469"/>
      <c r="F130" s="61"/>
      <c r="G130" s="61"/>
      <c r="H130" s="61"/>
      <c r="I130" s="61"/>
    </row>
    <row r="131" spans="1:9" s="62" customFormat="1" x14ac:dyDescent="0.2">
      <c r="A131" s="90" t="s">
        <v>203</v>
      </c>
      <c r="B131" s="91" t="s">
        <v>193</v>
      </c>
      <c r="C131" s="121"/>
      <c r="D131" s="469"/>
      <c r="E131" s="469"/>
      <c r="F131" s="61"/>
      <c r="G131" s="61"/>
      <c r="H131" s="61"/>
      <c r="I131" s="61"/>
    </row>
    <row r="132" spans="1:9" s="62" customFormat="1" x14ac:dyDescent="0.2">
      <c r="A132" s="90" t="s">
        <v>204</v>
      </c>
      <c r="B132" s="91" t="s">
        <v>193</v>
      </c>
      <c r="C132" s="121"/>
      <c r="D132" s="469"/>
      <c r="E132" s="469"/>
      <c r="F132" s="61"/>
      <c r="G132" s="61"/>
      <c r="H132" s="61"/>
      <c r="I132" s="61"/>
    </row>
    <row r="133" spans="1:9" s="62" customFormat="1" x14ac:dyDescent="0.2">
      <c r="A133" s="90" t="s">
        <v>205</v>
      </c>
      <c r="B133" s="91" t="s">
        <v>193</v>
      </c>
      <c r="C133" s="121"/>
      <c r="D133" s="469"/>
      <c r="E133" s="469"/>
      <c r="F133" s="61"/>
      <c r="G133" s="61"/>
      <c r="H133" s="61"/>
      <c r="I133" s="61"/>
    </row>
    <row r="134" spans="1:9" s="62" customFormat="1" x14ac:dyDescent="0.2">
      <c r="A134" s="90" t="s">
        <v>206</v>
      </c>
      <c r="B134" s="91" t="s">
        <v>193</v>
      </c>
      <c r="C134" s="121"/>
      <c r="D134" s="469"/>
      <c r="E134" s="469"/>
      <c r="F134" s="61"/>
      <c r="G134" s="61"/>
      <c r="H134" s="61"/>
      <c r="I134" s="61"/>
    </row>
    <row r="135" spans="1:9" s="62" customFormat="1" x14ac:dyDescent="0.2">
      <c r="A135" s="90" t="s">
        <v>207</v>
      </c>
      <c r="B135" s="91">
        <v>6</v>
      </c>
      <c r="C135" s="121"/>
      <c r="D135" s="469"/>
      <c r="E135" s="469"/>
      <c r="F135" s="61"/>
      <c r="G135" s="61"/>
      <c r="H135" s="61"/>
      <c r="I135" s="61"/>
    </row>
    <row r="136" spans="1:9" s="62" customFormat="1" x14ac:dyDescent="0.2">
      <c r="A136" s="90" t="s">
        <v>208</v>
      </c>
      <c r="B136" s="91">
        <v>12</v>
      </c>
      <c r="C136" s="121"/>
      <c r="D136" s="469"/>
      <c r="E136" s="469"/>
      <c r="F136" s="61"/>
      <c r="G136" s="61"/>
      <c r="H136" s="61"/>
      <c r="I136" s="61"/>
    </row>
    <row r="137" spans="1:9" s="62" customFormat="1" x14ac:dyDescent="0.2">
      <c r="A137" s="90" t="s">
        <v>209</v>
      </c>
      <c r="B137" s="91" t="s">
        <v>193</v>
      </c>
      <c r="C137" s="121"/>
      <c r="D137" s="469"/>
      <c r="E137" s="469"/>
      <c r="F137" s="61"/>
      <c r="G137" s="61"/>
      <c r="H137" s="61"/>
      <c r="I137" s="61"/>
    </row>
    <row r="138" spans="1:9" s="62" customFormat="1" x14ac:dyDescent="0.2">
      <c r="A138" s="90" t="s">
        <v>210</v>
      </c>
      <c r="B138" s="91" t="s">
        <v>193</v>
      </c>
      <c r="C138" s="121"/>
      <c r="D138" s="469"/>
      <c r="E138" s="469"/>
      <c r="F138" s="61"/>
      <c r="G138" s="61"/>
      <c r="H138" s="61"/>
      <c r="I138" s="61"/>
    </row>
    <row r="139" spans="1:9" s="62" customFormat="1" x14ac:dyDescent="0.2">
      <c r="A139" s="90" t="s">
        <v>211</v>
      </c>
      <c r="B139" s="91" t="s">
        <v>193</v>
      </c>
      <c r="C139" s="121"/>
      <c r="D139" s="469"/>
      <c r="E139" s="469"/>
      <c r="F139" s="61"/>
      <c r="G139" s="61"/>
      <c r="H139" s="61"/>
      <c r="I139" s="61"/>
    </row>
    <row r="140" spans="1:9" s="62" customFormat="1" x14ac:dyDescent="0.2">
      <c r="A140" s="90" t="s">
        <v>212</v>
      </c>
      <c r="B140" s="91">
        <v>1</v>
      </c>
      <c r="C140" s="121"/>
      <c r="D140" s="469"/>
      <c r="E140" s="469"/>
      <c r="F140" s="61"/>
      <c r="G140" s="61"/>
      <c r="H140" s="61"/>
      <c r="I140" s="61"/>
    </row>
    <row r="141" spans="1:9" s="62" customFormat="1" ht="12.75" thickBot="1" x14ac:dyDescent="0.25">
      <c r="A141" s="92" t="s">
        <v>213</v>
      </c>
      <c r="B141" s="93">
        <v>6</v>
      </c>
      <c r="C141" s="121"/>
      <c r="D141" s="469"/>
      <c r="E141" s="469"/>
      <c r="F141" s="61"/>
      <c r="G141" s="61"/>
      <c r="H141" s="61"/>
      <c r="I141" s="61"/>
    </row>
    <row r="142" spans="1:9" s="62" customFormat="1" ht="12.75" thickBot="1" x14ac:dyDescent="0.25">
      <c r="A142" s="121"/>
      <c r="B142" s="121"/>
      <c r="C142" s="121"/>
      <c r="D142" s="122"/>
      <c r="E142" s="61"/>
      <c r="F142" s="61"/>
      <c r="G142" s="61"/>
      <c r="H142" s="61"/>
      <c r="I142" s="61"/>
    </row>
    <row r="143" spans="1:9" s="62" customFormat="1" ht="13.5" thickBot="1" x14ac:dyDescent="0.25">
      <c r="A143" s="738" t="s">
        <v>214</v>
      </c>
      <c r="B143" s="798"/>
      <c r="C143" s="798"/>
      <c r="D143" s="798"/>
      <c r="E143" s="739"/>
      <c r="F143" s="61"/>
      <c r="G143" s="61"/>
      <c r="H143" s="61"/>
      <c r="I143" s="61"/>
    </row>
    <row r="144" spans="1:9" s="62" customFormat="1" x14ac:dyDescent="0.2">
      <c r="A144" s="126" t="s">
        <v>215</v>
      </c>
      <c r="B144" s="400" t="s">
        <v>216</v>
      </c>
      <c r="C144" s="400" t="s">
        <v>216</v>
      </c>
      <c r="D144" s="127"/>
      <c r="E144" s="130" t="s">
        <v>216</v>
      </c>
      <c r="F144" s="61"/>
      <c r="G144" s="61"/>
      <c r="H144" s="61"/>
      <c r="I144" s="61"/>
    </row>
    <row r="145" spans="1:21" s="62" customFormat="1" ht="12.75" thickBot="1" x14ac:dyDescent="0.25">
      <c r="A145" s="128" t="s">
        <v>217</v>
      </c>
      <c r="B145" s="401"/>
      <c r="C145" s="401"/>
      <c r="D145" s="129" t="s">
        <v>216</v>
      </c>
      <c r="E145" s="131"/>
      <c r="F145" s="61"/>
      <c r="G145" s="61"/>
      <c r="H145" s="61"/>
      <c r="I145" s="61"/>
    </row>
    <row r="146" spans="1:21" s="62" customFormat="1" ht="12.75" thickBot="1" x14ac:dyDescent="0.25">
      <c r="A146" s="121"/>
      <c r="B146" s="121"/>
      <c r="C146" s="121"/>
      <c r="D146" s="123"/>
      <c r="E146" s="61"/>
      <c r="F146" s="61"/>
      <c r="G146" s="61"/>
      <c r="H146" s="61"/>
      <c r="I146" s="61"/>
    </row>
    <row r="147" spans="1:21" s="62" customFormat="1" ht="13.5" thickBot="1" x14ac:dyDescent="0.25">
      <c r="A147" s="551" t="s">
        <v>261</v>
      </c>
      <c r="B147" s="740" t="s">
        <v>220</v>
      </c>
      <c r="C147" s="741"/>
      <c r="D147" s="742" t="s">
        <v>221</v>
      </c>
      <c r="E147" s="743"/>
      <c r="F147" s="744" t="s">
        <v>222</v>
      </c>
      <c r="G147" s="745"/>
      <c r="H147" s="28"/>
      <c r="I147" s="240" t="s">
        <v>223</v>
      </c>
      <c r="J147" s="72"/>
      <c r="N147" s="797"/>
      <c r="O147" s="797"/>
      <c r="P147" s="797"/>
      <c r="Q147" s="797"/>
      <c r="R147" s="797"/>
      <c r="S147" s="797"/>
    </row>
    <row r="148" spans="1:21" s="61" customFormat="1" ht="13.5" thickBot="1" x14ac:dyDescent="0.25">
      <c r="A148" s="553" t="s">
        <v>224</v>
      </c>
      <c r="B148" s="297"/>
      <c r="C148" s="297"/>
      <c r="D148" s="297"/>
      <c r="E148" s="297"/>
      <c r="F148" s="297"/>
      <c r="G148" s="298"/>
      <c r="H148" s="28"/>
      <c r="I148" s="194" t="s">
        <v>62</v>
      </c>
      <c r="J148" s="28"/>
      <c r="N148" s="402"/>
      <c r="O148" s="402"/>
      <c r="P148" s="121"/>
      <c r="Q148" s="121"/>
      <c r="R148" s="121"/>
      <c r="S148" s="121"/>
    </row>
    <row r="149" spans="1:21" x14ac:dyDescent="0.2">
      <c r="A149" s="555" t="s">
        <v>225</v>
      </c>
      <c r="B149" s="233">
        <v>4</v>
      </c>
      <c r="C149" s="233"/>
      <c r="D149" s="234">
        <v>3</v>
      </c>
      <c r="E149" s="234"/>
      <c r="F149" s="235">
        <v>2</v>
      </c>
      <c r="G149" s="236">
        <v>0</v>
      </c>
      <c r="M149" s="61"/>
      <c r="N149" s="403"/>
      <c r="O149" s="403"/>
      <c r="P149" s="403"/>
      <c r="Q149" s="403"/>
      <c r="R149" s="403"/>
      <c r="S149" s="403"/>
      <c r="T149" s="61"/>
      <c r="U149" s="61"/>
    </row>
    <row r="150" spans="1:21" ht="12.75" thickBot="1" x14ac:dyDescent="0.25">
      <c r="A150" s="555" t="s">
        <v>226</v>
      </c>
      <c r="B150" s="228">
        <v>4</v>
      </c>
      <c r="C150" s="228">
        <v>3</v>
      </c>
      <c r="D150" s="230">
        <v>2</v>
      </c>
      <c r="E150" s="230"/>
      <c r="F150" s="231">
        <v>1</v>
      </c>
      <c r="G150" s="232">
        <v>0</v>
      </c>
      <c r="M150" s="61"/>
      <c r="N150" s="403"/>
      <c r="O150" s="403"/>
      <c r="P150" s="403"/>
      <c r="Q150" s="403"/>
      <c r="R150" s="403"/>
      <c r="S150" s="403"/>
      <c r="T150" s="61"/>
      <c r="U150" s="61"/>
    </row>
    <row r="151" spans="1:21" ht="12.75" thickBot="1" x14ac:dyDescent="0.25">
      <c r="A151" s="553" t="str">
        <f t="shared" ref="A151:A172" si="37">A38</f>
        <v>Integrated Mission Systems</v>
      </c>
      <c r="B151" s="297"/>
      <c r="C151" s="297"/>
      <c r="D151" s="297"/>
      <c r="E151" s="297"/>
      <c r="F151" s="297"/>
      <c r="G151" s="298"/>
      <c r="M151" s="61"/>
      <c r="N151" s="121"/>
      <c r="O151" s="403"/>
      <c r="P151" s="403"/>
      <c r="Q151" s="403"/>
      <c r="R151" s="403"/>
      <c r="S151" s="121"/>
      <c r="T151" s="61"/>
      <c r="U151" s="61"/>
    </row>
    <row r="152" spans="1:21" x14ac:dyDescent="0.2">
      <c r="A152" s="556" t="str">
        <f t="shared" si="37"/>
        <v>Ready MH-60S Cargo Transport Mission Systems (C)</v>
      </c>
      <c r="B152" s="233">
        <f>$B$150</f>
        <v>4</v>
      </c>
      <c r="C152" s="233">
        <f>ROUND(MAX(B39:AC39),0)</f>
        <v>1</v>
      </c>
      <c r="D152" s="299">
        <v>1</v>
      </c>
      <c r="E152" s="299"/>
      <c r="F152" s="300"/>
      <c r="G152" s="301">
        <v>0</v>
      </c>
      <c r="M152" s="61"/>
      <c r="N152" s="403"/>
      <c r="O152" s="403"/>
      <c r="P152" s="403"/>
      <c r="Q152" s="403"/>
      <c r="R152" s="403"/>
      <c r="S152" s="403"/>
      <c r="T152" s="61"/>
      <c r="U152" s="61"/>
    </row>
    <row r="153" spans="1:21" x14ac:dyDescent="0.2">
      <c r="A153" s="555" t="str">
        <f t="shared" si="37"/>
        <v>Ready MH-60S Airborne Mine Counter Measures (AMCM) Mission Systems (D)</v>
      </c>
      <c r="B153" s="224" t="s">
        <v>227</v>
      </c>
      <c r="C153" s="233"/>
      <c r="D153" s="225"/>
      <c r="E153" s="225"/>
      <c r="F153" s="226"/>
      <c r="G153" s="227"/>
      <c r="M153" s="61"/>
      <c r="N153" s="403"/>
      <c r="O153" s="403"/>
      <c r="P153" s="403"/>
      <c r="Q153" s="403"/>
      <c r="R153" s="403"/>
      <c r="S153" s="403"/>
      <c r="T153" s="61"/>
      <c r="U153" s="61"/>
    </row>
    <row r="154" spans="1:21" x14ac:dyDescent="0.2">
      <c r="A154" s="555" t="str">
        <f t="shared" si="37"/>
        <v>Ready MH-60S Active/Passive Countermeasures Mission Systems (E)</v>
      </c>
      <c r="B154" s="224">
        <f>$B$150</f>
        <v>4</v>
      </c>
      <c r="C154" s="233">
        <f t="shared" ref="C154:C161" si="38">ROUND(MAX(B41:AC41),0)</f>
        <v>3</v>
      </c>
      <c r="D154" s="225">
        <v>1</v>
      </c>
      <c r="E154" s="225"/>
      <c r="F154" s="226"/>
      <c r="G154" s="227">
        <v>0</v>
      </c>
      <c r="M154" s="61"/>
      <c r="N154" s="403"/>
      <c r="O154" s="403"/>
      <c r="P154" s="403"/>
      <c r="Q154" s="403"/>
      <c r="R154" s="403"/>
      <c r="S154" s="403"/>
      <c r="T154" s="61"/>
      <c r="U154" s="61"/>
    </row>
    <row r="155" spans="1:21" x14ac:dyDescent="0.2">
      <c r="A155" s="555" t="str">
        <f t="shared" si="37"/>
        <v>Ready MH-60S CSAR, SUW, and Spec Warfare Mission Systems (F)</v>
      </c>
      <c r="B155" s="224">
        <f>$B$150</f>
        <v>4</v>
      </c>
      <c r="C155" s="233">
        <f t="shared" si="38"/>
        <v>3</v>
      </c>
      <c r="D155" s="225">
        <v>1</v>
      </c>
      <c r="E155" s="225"/>
      <c r="F155" s="226"/>
      <c r="G155" s="227">
        <v>0</v>
      </c>
      <c r="M155" s="61"/>
      <c r="N155" s="403"/>
      <c r="O155" s="403"/>
      <c r="P155" s="403"/>
      <c r="Q155" s="403"/>
      <c r="R155" s="403"/>
      <c r="S155" s="403"/>
      <c r="T155" s="61"/>
      <c r="U155" s="61"/>
    </row>
    <row r="156" spans="1:21" x14ac:dyDescent="0.2">
      <c r="A156" s="555" t="str">
        <f t="shared" si="37"/>
        <v>Ready MH-60S Personnel Transport Mission Systems (G)</v>
      </c>
      <c r="B156" s="224">
        <f>$B$150</f>
        <v>4</v>
      </c>
      <c r="C156" s="233">
        <f t="shared" si="38"/>
        <v>3</v>
      </c>
      <c r="D156" s="225">
        <v>1</v>
      </c>
      <c r="E156" s="225"/>
      <c r="F156" s="226"/>
      <c r="G156" s="232">
        <v>0</v>
      </c>
      <c r="M156" s="61"/>
      <c r="N156" s="403"/>
      <c r="O156" s="403"/>
      <c r="P156" s="403"/>
      <c r="Q156" s="403"/>
      <c r="R156" s="403"/>
      <c r="S156" s="403"/>
      <c r="T156" s="61"/>
      <c r="U156" s="61"/>
    </row>
    <row r="157" spans="1:21" x14ac:dyDescent="0.2">
      <c r="A157" s="555" t="str">
        <f t="shared" si="37"/>
        <v>Ready MH-60S SAR\MEDIVAC Mission Systems (H)</v>
      </c>
      <c r="B157" s="224">
        <f>$B$150</f>
        <v>4</v>
      </c>
      <c r="C157" s="233">
        <f t="shared" si="38"/>
        <v>3</v>
      </c>
      <c r="D157" s="225">
        <v>1</v>
      </c>
      <c r="E157" s="225"/>
      <c r="F157" s="226"/>
      <c r="G157" s="232">
        <v>0</v>
      </c>
      <c r="M157" s="61"/>
      <c r="N157" s="403"/>
      <c r="O157" s="403"/>
      <c r="P157" s="403"/>
      <c r="Q157" s="403"/>
      <c r="R157" s="403"/>
      <c r="S157" s="403"/>
      <c r="T157" s="61"/>
      <c r="U157" s="61"/>
    </row>
    <row r="158" spans="1:21" x14ac:dyDescent="0.2">
      <c r="A158" s="555" t="str">
        <f t="shared" si="37"/>
        <v>Ready MH-60S Mission Support Systems (I)</v>
      </c>
      <c r="B158" s="224" t="s">
        <v>227</v>
      </c>
      <c r="C158" s="233"/>
      <c r="D158" s="225"/>
      <c r="E158" s="225"/>
      <c r="F158" s="226"/>
      <c r="G158" s="232"/>
      <c r="M158" s="61"/>
      <c r="N158" s="403"/>
      <c r="O158" s="403"/>
      <c r="P158" s="403"/>
      <c r="Q158" s="403"/>
      <c r="R158" s="403"/>
      <c r="S158" s="403"/>
      <c r="T158" s="61"/>
      <c r="U158" s="61"/>
    </row>
    <row r="159" spans="1:21" x14ac:dyDescent="0.2">
      <c r="A159" s="555" t="str">
        <f t="shared" si="37"/>
        <v>Ready MH-60S Fixed Forward Firing Systems (J)</v>
      </c>
      <c r="B159" s="224">
        <f>$B$150</f>
        <v>4</v>
      </c>
      <c r="C159" s="233">
        <f t="shared" si="38"/>
        <v>3</v>
      </c>
      <c r="D159" s="225">
        <v>1</v>
      </c>
      <c r="E159" s="225"/>
      <c r="F159" s="226"/>
      <c r="G159" s="232">
        <v>0</v>
      </c>
      <c r="M159" s="61"/>
      <c r="N159" s="403"/>
      <c r="O159" s="403"/>
      <c r="P159" s="403"/>
      <c r="Q159" s="403"/>
      <c r="R159" s="403"/>
      <c r="S159" s="403"/>
      <c r="T159" s="61"/>
      <c r="U159" s="61"/>
    </row>
    <row r="160" spans="1:21" x14ac:dyDescent="0.2">
      <c r="A160" s="555" t="str">
        <f t="shared" si="37"/>
        <v>Ready MH-60S Shipboard Mission Systems (K)</v>
      </c>
      <c r="B160" s="224">
        <f>$B$150</f>
        <v>4</v>
      </c>
      <c r="C160" s="233">
        <f t="shared" si="38"/>
        <v>3</v>
      </c>
      <c r="D160" s="225">
        <v>2</v>
      </c>
      <c r="E160" s="225"/>
      <c r="F160" s="226">
        <v>1</v>
      </c>
      <c r="G160" s="227">
        <v>0</v>
      </c>
      <c r="M160" s="61"/>
      <c r="N160" s="403"/>
      <c r="O160" s="403"/>
      <c r="P160" s="403"/>
      <c r="Q160" s="403"/>
      <c r="R160" s="403"/>
      <c r="S160" s="403"/>
      <c r="T160" s="61"/>
      <c r="U160" s="61"/>
    </row>
    <row r="161" spans="1:21" ht="12.75" thickBot="1" x14ac:dyDescent="0.25">
      <c r="A161" s="555" t="str">
        <f t="shared" si="37"/>
        <v>Ready MH-60S IMC Flight Mission Systems (L)</v>
      </c>
      <c r="B161" s="224">
        <f>$B$150</f>
        <v>4</v>
      </c>
      <c r="C161" s="233">
        <f t="shared" si="38"/>
        <v>3</v>
      </c>
      <c r="D161" s="225">
        <v>2</v>
      </c>
      <c r="E161" s="225"/>
      <c r="F161" s="226">
        <v>1</v>
      </c>
      <c r="G161" s="227">
        <v>0</v>
      </c>
      <c r="M161" s="61"/>
      <c r="N161" s="403"/>
      <c r="O161" s="403"/>
      <c r="P161" s="403"/>
      <c r="Q161" s="403"/>
      <c r="R161" s="403"/>
      <c r="S161" s="403"/>
      <c r="T161" s="61"/>
      <c r="U161" s="61"/>
    </row>
    <row r="162" spans="1:21" ht="12.75" thickBot="1" x14ac:dyDescent="0.25">
      <c r="A162" s="553" t="str">
        <f t="shared" si="37"/>
        <v>Non-Integrated Mission Systems</v>
      </c>
      <c r="B162" s="297"/>
      <c r="C162" s="297"/>
      <c r="D162" s="297"/>
      <c r="E162" s="297"/>
      <c r="F162" s="297"/>
      <c r="G162" s="298"/>
      <c r="M162" s="61"/>
      <c r="N162" s="121"/>
      <c r="O162" s="403"/>
      <c r="P162" s="403"/>
      <c r="Q162" s="403"/>
      <c r="R162" s="403"/>
      <c r="S162" s="121"/>
      <c r="T162" s="61"/>
      <c r="U162" s="61"/>
    </row>
    <row r="163" spans="1:21" x14ac:dyDescent="0.2">
      <c r="A163" s="557" t="str">
        <f t="shared" si="37"/>
        <v>Assigned M-299 Sets</v>
      </c>
      <c r="B163" s="233">
        <v>2</v>
      </c>
      <c r="C163" s="224"/>
      <c r="D163" s="234">
        <v>1</v>
      </c>
      <c r="E163" s="234"/>
      <c r="F163" s="235"/>
      <c r="G163" s="302">
        <v>0</v>
      </c>
      <c r="M163" s="61"/>
      <c r="N163" s="403"/>
      <c r="O163" s="403"/>
      <c r="P163" s="403"/>
      <c r="Q163" s="403"/>
      <c r="R163" s="403"/>
      <c r="S163" s="403"/>
      <c r="T163" s="61"/>
      <c r="U163" s="61"/>
    </row>
    <row r="164" spans="1:21" x14ac:dyDescent="0.2">
      <c r="A164" s="558" t="str">
        <f t="shared" si="37"/>
        <v>Ready M-299 Sets</v>
      </c>
      <c r="B164" s="224">
        <v>2</v>
      </c>
      <c r="C164" s="224"/>
      <c r="D164" s="225">
        <v>1</v>
      </c>
      <c r="E164" s="225"/>
      <c r="F164" s="226"/>
      <c r="G164" s="295">
        <v>0</v>
      </c>
      <c r="M164" s="61"/>
      <c r="N164" s="403"/>
      <c r="O164" s="403"/>
      <c r="P164" s="403"/>
      <c r="Q164" s="403"/>
      <c r="R164" s="403"/>
      <c r="S164" s="403"/>
      <c r="T164" s="61"/>
      <c r="U164" s="61"/>
    </row>
    <row r="165" spans="1:21" x14ac:dyDescent="0.2">
      <c r="A165" s="558" t="str">
        <f t="shared" si="37"/>
        <v>Assigned 20-mm Sets</v>
      </c>
      <c r="B165" s="224" t="s">
        <v>227</v>
      </c>
      <c r="C165" s="224"/>
      <c r="D165" s="225"/>
      <c r="E165" s="225"/>
      <c r="F165" s="226"/>
      <c r="G165" s="295"/>
      <c r="M165" s="61"/>
      <c r="N165" s="403"/>
      <c r="O165" s="403"/>
      <c r="P165" s="403"/>
      <c r="Q165" s="403"/>
      <c r="R165" s="403"/>
      <c r="S165" s="403"/>
      <c r="T165" s="61"/>
      <c r="U165" s="61"/>
    </row>
    <row r="166" spans="1:21" x14ac:dyDescent="0.2">
      <c r="A166" s="558" t="str">
        <f t="shared" si="37"/>
        <v>Ready 20-mm Sets</v>
      </c>
      <c r="B166" s="224" t="s">
        <v>227</v>
      </c>
      <c r="C166" s="224"/>
      <c r="D166" s="225"/>
      <c r="E166" s="225"/>
      <c r="F166" s="226"/>
      <c r="G166" s="295"/>
      <c r="M166" s="61"/>
      <c r="N166" s="403"/>
      <c r="O166" s="403"/>
      <c r="P166" s="403"/>
      <c r="Q166" s="403"/>
      <c r="R166" s="403"/>
      <c r="S166" s="403"/>
      <c r="T166" s="61"/>
      <c r="U166" s="61"/>
    </row>
    <row r="167" spans="1:21" x14ac:dyDescent="0.2">
      <c r="A167" s="558" t="str">
        <f t="shared" si="37"/>
        <v>Assigned GAU-21 Sets</v>
      </c>
      <c r="B167" s="233" t="s">
        <v>227</v>
      </c>
      <c r="C167" s="224"/>
      <c r="D167" s="234"/>
      <c r="E167" s="234"/>
      <c r="F167" s="235"/>
      <c r="G167" s="302"/>
      <c r="M167" s="61"/>
      <c r="N167" s="403"/>
      <c r="O167" s="403"/>
      <c r="P167" s="403"/>
      <c r="Q167" s="403"/>
      <c r="R167" s="403"/>
      <c r="S167" s="403"/>
      <c r="T167" s="61"/>
      <c r="U167" s="61"/>
    </row>
    <row r="168" spans="1:21" x14ac:dyDescent="0.2">
      <c r="A168" s="558" t="str">
        <f t="shared" si="37"/>
        <v>Ready GAU-21 Sets</v>
      </c>
      <c r="B168" s="224" t="s">
        <v>227</v>
      </c>
      <c r="C168" s="224"/>
      <c r="D168" s="225"/>
      <c r="E168" s="225"/>
      <c r="F168" s="226"/>
      <c r="G168" s="295"/>
      <c r="M168" s="61"/>
      <c r="N168" s="403"/>
      <c r="O168" s="403"/>
      <c r="P168" s="403"/>
      <c r="Q168" s="403"/>
      <c r="R168" s="403"/>
      <c r="S168" s="403"/>
      <c r="T168" s="61"/>
      <c r="U168" s="61"/>
    </row>
    <row r="169" spans="1:21" x14ac:dyDescent="0.2">
      <c r="A169" s="558" t="str">
        <f t="shared" si="37"/>
        <v>Assigned M-240 Sets</v>
      </c>
      <c r="B169" s="233">
        <v>10</v>
      </c>
      <c r="C169" s="224">
        <v>10</v>
      </c>
      <c r="D169" s="234">
        <v>9</v>
      </c>
      <c r="E169" s="234">
        <v>7</v>
      </c>
      <c r="F169" s="235">
        <v>6</v>
      </c>
      <c r="G169" s="302">
        <v>0</v>
      </c>
      <c r="M169" s="61"/>
      <c r="N169" s="403"/>
      <c r="O169" s="403"/>
      <c r="P169" s="403"/>
      <c r="Q169" s="403"/>
      <c r="R169" s="403"/>
      <c r="S169" s="403"/>
      <c r="T169" s="61"/>
      <c r="U169" s="61"/>
    </row>
    <row r="170" spans="1:21" x14ac:dyDescent="0.2">
      <c r="A170" s="558" t="str">
        <f t="shared" si="37"/>
        <v>Ready M-240 Sets</v>
      </c>
      <c r="B170" s="224">
        <v>10</v>
      </c>
      <c r="C170" s="224">
        <v>8</v>
      </c>
      <c r="D170" s="225">
        <v>7</v>
      </c>
      <c r="E170" s="225">
        <v>5</v>
      </c>
      <c r="F170" s="226">
        <v>4</v>
      </c>
      <c r="G170" s="295">
        <v>0</v>
      </c>
      <c r="M170" s="61"/>
      <c r="N170" s="403"/>
      <c r="O170" s="403"/>
      <c r="P170" s="403"/>
      <c r="Q170" s="403"/>
      <c r="R170" s="403"/>
      <c r="S170" s="403"/>
      <c r="T170" s="61"/>
      <c r="U170" s="61"/>
    </row>
    <row r="171" spans="1:21" x14ac:dyDescent="0.2">
      <c r="A171" s="558" t="str">
        <f t="shared" si="37"/>
        <v>Assigned Full Motion Video Systems</v>
      </c>
      <c r="B171" s="224" t="s">
        <v>227</v>
      </c>
      <c r="C171" s="224"/>
      <c r="D171" s="225"/>
      <c r="E171" s="225"/>
      <c r="F171" s="226"/>
      <c r="G171" s="295"/>
      <c r="M171" s="61"/>
      <c r="N171" s="403"/>
      <c r="O171" s="403"/>
      <c r="P171" s="403"/>
      <c r="Q171" s="403"/>
      <c r="R171" s="403"/>
      <c r="S171" s="403"/>
      <c r="T171" s="61"/>
      <c r="U171" s="61"/>
    </row>
    <row r="172" spans="1:21" ht="12.75" thickBot="1" x14ac:dyDescent="0.25">
      <c r="A172" s="559" t="str">
        <f t="shared" si="37"/>
        <v>Ready Full Motion Video Systems</v>
      </c>
      <c r="B172" s="237" t="s">
        <v>227</v>
      </c>
      <c r="C172" s="237"/>
      <c r="D172" s="238"/>
      <c r="E172" s="238"/>
      <c r="F172" s="239"/>
      <c r="G172" s="296"/>
      <c r="M172" s="61"/>
      <c r="N172" s="403"/>
      <c r="O172" s="403"/>
      <c r="P172" s="403"/>
      <c r="Q172" s="403"/>
      <c r="R172" s="403"/>
      <c r="S172" s="403"/>
      <c r="T172" s="61"/>
      <c r="U172" s="61"/>
    </row>
    <row r="173" spans="1:21" x14ac:dyDescent="0.2">
      <c r="M173" s="61"/>
      <c r="N173" s="61"/>
      <c r="O173" s="61"/>
      <c r="P173" s="61"/>
      <c r="Q173" s="61"/>
      <c r="R173" s="61"/>
      <c r="S173" s="61"/>
      <c r="T173" s="61"/>
      <c r="U173" s="61"/>
    </row>
    <row r="174" spans="1:21" x14ac:dyDescent="0.2">
      <c r="M174" s="61"/>
      <c r="N174" s="61"/>
      <c r="O174" s="61"/>
      <c r="P174" s="61"/>
      <c r="Q174" s="61"/>
      <c r="R174" s="61"/>
      <c r="S174" s="61"/>
      <c r="T174" s="61"/>
      <c r="U174" s="61"/>
    </row>
    <row r="175" spans="1:21" x14ac:dyDescent="0.2">
      <c r="A175" s="631" t="s">
        <v>228</v>
      </c>
      <c r="B175" s="631" t="s">
        <v>268</v>
      </c>
      <c r="M175" s="61"/>
      <c r="N175" s="61"/>
      <c r="O175" s="61"/>
      <c r="P175" s="61"/>
      <c r="Q175" s="61"/>
      <c r="R175" s="61"/>
      <c r="S175" s="61"/>
      <c r="T175" s="61"/>
      <c r="U175" s="61"/>
    </row>
    <row r="176" spans="1:21" x14ac:dyDescent="0.2">
      <c r="A176" s="632" t="s">
        <v>230</v>
      </c>
      <c r="B176" s="670">
        <f>HLOOKUP($B$175,'MH-60S Mission System Summary'!$B$1:$J$12,2,FALSE)</f>
        <v>0.88803556784246185</v>
      </c>
      <c r="M176" s="61"/>
      <c r="N176" s="61"/>
      <c r="O176" s="61"/>
      <c r="P176" s="61"/>
      <c r="Q176" s="61"/>
      <c r="R176" s="61"/>
      <c r="S176" s="61"/>
      <c r="T176" s="61"/>
      <c r="U176" s="61"/>
    </row>
    <row r="177" spans="1:21" x14ac:dyDescent="0.2">
      <c r="A177" s="632" t="str">
        <f t="shared" ref="A177:A186" si="39">A39</f>
        <v>Ready MH-60S Cargo Transport Mission Systems (C)</v>
      </c>
      <c r="B177" s="670">
        <f>HLOOKUP($B$175,'MH-60S Mission System Summary'!$B$1:$J$12,3,FALSE)</f>
        <v>0.39493405816910199</v>
      </c>
      <c r="M177" s="61"/>
      <c r="N177" s="61"/>
      <c r="O177" s="61"/>
      <c r="P177" s="61"/>
      <c r="Q177" s="61"/>
      <c r="R177" s="61"/>
      <c r="S177" s="61"/>
      <c r="T177" s="61"/>
      <c r="U177" s="61"/>
    </row>
    <row r="178" spans="1:21" x14ac:dyDescent="0.2">
      <c r="A178" s="632" t="str">
        <f t="shared" si="39"/>
        <v>Ready MH-60S Airborne Mine Counter Measures (AMCM) Mission Systems (D)</v>
      </c>
      <c r="B178" s="670">
        <f>HLOOKUP($B$175,'MH-60S Mission System Summary'!$B$1:$J$12,4,FALSE)</f>
        <v>0</v>
      </c>
      <c r="M178" s="61"/>
      <c r="N178" s="61"/>
      <c r="O178" s="61"/>
      <c r="P178" s="61"/>
      <c r="Q178" s="61"/>
      <c r="R178" s="61"/>
      <c r="S178" s="61"/>
      <c r="T178" s="61"/>
      <c r="U178" s="61"/>
    </row>
    <row r="179" spans="1:21" x14ac:dyDescent="0.2">
      <c r="A179" s="632" t="str">
        <f t="shared" si="39"/>
        <v>Ready MH-60S Active/Passive Countermeasures Mission Systems (E)</v>
      </c>
      <c r="B179" s="670">
        <f>HLOOKUP($B$175,'MH-60S Mission System Summary'!$B$1:$J$12,5,FALSE)</f>
        <v>0.86544462381952025</v>
      </c>
      <c r="M179" s="61"/>
      <c r="N179" s="61"/>
      <c r="O179" s="61"/>
      <c r="P179" s="61"/>
      <c r="Q179" s="61"/>
      <c r="R179" s="61"/>
      <c r="S179" s="61"/>
      <c r="T179" s="61"/>
      <c r="U179" s="61"/>
    </row>
    <row r="180" spans="1:21" x14ac:dyDescent="0.2">
      <c r="A180" s="632" t="str">
        <f t="shared" si="39"/>
        <v>Ready MH-60S CSAR, SUW, and Spec Warfare Mission Systems (F)</v>
      </c>
      <c r="B180" s="670">
        <f>HLOOKUP($B$175,'MH-60S Mission System Summary'!$B$1:$J$12,6,FALSE)</f>
        <v>0.86544462381952025</v>
      </c>
      <c r="M180" s="61"/>
      <c r="N180" s="61"/>
      <c r="O180" s="61"/>
      <c r="P180" s="61"/>
      <c r="Q180" s="61"/>
      <c r="R180" s="61"/>
      <c r="S180" s="61"/>
      <c r="T180" s="61"/>
      <c r="U180" s="61"/>
    </row>
    <row r="181" spans="1:21" x14ac:dyDescent="0.2">
      <c r="A181" s="632" t="str">
        <f t="shared" si="39"/>
        <v>Ready MH-60S Personnel Transport Mission Systems (G)</v>
      </c>
      <c r="B181" s="670">
        <f>HLOOKUP($B$175,'MH-60S Mission System Summary'!$B$1:$J$12,7,FALSE)</f>
        <v>0.78493730755146152</v>
      </c>
      <c r="M181" s="61"/>
      <c r="N181" s="61"/>
      <c r="O181" s="61"/>
      <c r="P181" s="61"/>
      <c r="Q181" s="61"/>
      <c r="R181" s="61"/>
      <c r="S181" s="61"/>
      <c r="T181" s="61"/>
      <c r="U181" s="61"/>
    </row>
    <row r="182" spans="1:21" x14ac:dyDescent="0.2">
      <c r="A182" s="632" t="str">
        <f t="shared" si="39"/>
        <v>Ready MH-60S SAR\MEDIVAC Mission Systems (H)</v>
      </c>
      <c r="B182" s="670">
        <f>HLOOKUP($B$175,'MH-60S Mission System Summary'!$B$1:$J$12,8,FALSE)</f>
        <v>0.78493730755146152</v>
      </c>
      <c r="M182" s="61"/>
      <c r="N182" s="61"/>
      <c r="O182" s="61"/>
      <c r="P182" s="61"/>
      <c r="Q182" s="61"/>
      <c r="R182" s="61"/>
      <c r="S182" s="61"/>
      <c r="T182" s="61"/>
      <c r="U182" s="61"/>
    </row>
    <row r="183" spans="1:21" x14ac:dyDescent="0.2">
      <c r="A183" s="632" t="str">
        <f t="shared" si="39"/>
        <v>Ready MH-60S Mission Support Systems (I)</v>
      </c>
      <c r="B183" s="670">
        <f>HLOOKUP($B$175,'MH-60S Mission System Summary'!$B$1:$J$12,9,FALSE)</f>
        <v>0</v>
      </c>
      <c r="M183" s="61"/>
      <c r="N183" s="61"/>
      <c r="O183" s="61"/>
      <c r="P183" s="61"/>
      <c r="Q183" s="61"/>
      <c r="R183" s="61"/>
      <c r="S183" s="61"/>
      <c r="T183" s="61"/>
      <c r="U183" s="61"/>
    </row>
    <row r="184" spans="1:21" x14ac:dyDescent="0.2">
      <c r="A184" s="632" t="str">
        <f t="shared" si="39"/>
        <v>Ready MH-60S Fixed Forward Firing Systems (J)</v>
      </c>
      <c r="B184" s="670">
        <f>HLOOKUP($B$175,'MH-60S Mission System Summary'!$B$1:$J$12,10,FALSE)</f>
        <v>0.79866207970786529</v>
      </c>
      <c r="M184" s="61"/>
      <c r="N184" s="61"/>
      <c r="O184" s="61"/>
      <c r="P184" s="61"/>
      <c r="Q184" s="61"/>
      <c r="R184" s="61"/>
      <c r="S184" s="61"/>
      <c r="T184" s="61"/>
      <c r="U184" s="61"/>
    </row>
    <row r="185" spans="1:21" x14ac:dyDescent="0.2">
      <c r="A185" s="632" t="str">
        <f t="shared" si="39"/>
        <v>Ready MH-60S Shipboard Mission Systems (K)</v>
      </c>
      <c r="B185" s="670">
        <f>HLOOKUP($B$175,'MH-60S Mission System Summary'!$B$1:$J$12,11,FALSE)</f>
        <v>0.13455537618048</v>
      </c>
      <c r="M185" s="61"/>
      <c r="N185" s="61"/>
      <c r="O185" s="61"/>
      <c r="P185" s="61"/>
      <c r="Q185" s="61"/>
      <c r="R185" s="61"/>
      <c r="S185" s="61"/>
      <c r="T185" s="61"/>
      <c r="U185" s="61"/>
    </row>
    <row r="186" spans="1:21" x14ac:dyDescent="0.2">
      <c r="A186" s="632" t="str">
        <f t="shared" si="39"/>
        <v>Ready MH-60S IMC Flight Mission Systems (L)</v>
      </c>
      <c r="B186" s="670">
        <f>HLOOKUP($B$175,'MH-60S Mission System Summary'!$B$1:$J$12,12,FALSE)</f>
        <v>1</v>
      </c>
    </row>
  </sheetData>
  <mergeCells count="12">
    <mergeCell ref="R147:S147"/>
    <mergeCell ref="U1:X1"/>
    <mergeCell ref="A98:E98"/>
    <mergeCell ref="A108:B108"/>
    <mergeCell ref="A109:B109"/>
    <mergeCell ref="A143:E143"/>
    <mergeCell ref="B147:C147"/>
    <mergeCell ref="D147:E147"/>
    <mergeCell ref="F147:G147"/>
    <mergeCell ref="N147:O147"/>
    <mergeCell ref="P147:Q147"/>
    <mergeCell ref="M1:P1"/>
  </mergeCells>
  <conditionalFormatting sqref="R158">
    <cfRule type="cellIs" dxfId="115" priority="129" operator="equal">
      <formula>S158</formula>
    </cfRule>
    <cfRule type="cellIs" dxfId="114" priority="130" operator="equal">
      <formula>Q158</formula>
    </cfRule>
  </conditionalFormatting>
  <conditionalFormatting sqref="Q149:Q157 Q159:Q170">
    <cfRule type="cellIs" dxfId="113" priority="178" operator="equal">
      <formula>P149</formula>
    </cfRule>
  </conditionalFormatting>
  <conditionalFormatting sqref="R149:S157 R159:S170">
    <cfRule type="cellIs" dxfId="112" priority="177" operator="equal">
      <formula>Q149</formula>
    </cfRule>
  </conditionalFormatting>
  <conditionalFormatting sqref="S149">
    <cfRule type="cellIs" dxfId="111" priority="176" operator="equal">
      <formula>R149</formula>
    </cfRule>
  </conditionalFormatting>
  <conditionalFormatting sqref="R170">
    <cfRule type="cellIs" dxfId="110" priority="175" operator="equal">
      <formula>U170</formula>
    </cfRule>
  </conditionalFormatting>
  <conditionalFormatting sqref="Q149:Q157 Q159:Q170">
    <cfRule type="cellIs" dxfId="109" priority="174" operator="equal">
      <formula>P149</formula>
    </cfRule>
  </conditionalFormatting>
  <conditionalFormatting sqref="R149:S157 R159:S170">
    <cfRule type="cellIs" dxfId="108" priority="173" operator="equal">
      <formula>Q149</formula>
    </cfRule>
  </conditionalFormatting>
  <conditionalFormatting sqref="S149">
    <cfRule type="cellIs" dxfId="107" priority="172" operator="equal">
      <formula>R149</formula>
    </cfRule>
  </conditionalFormatting>
  <conditionalFormatting sqref="R170">
    <cfRule type="cellIs" dxfId="106" priority="171" operator="equal">
      <formula>U170</formula>
    </cfRule>
  </conditionalFormatting>
  <conditionalFormatting sqref="Q171:Q172">
    <cfRule type="cellIs" dxfId="105" priority="170" operator="equal">
      <formula>P171</formula>
    </cfRule>
  </conditionalFormatting>
  <conditionalFormatting sqref="R171:S172">
    <cfRule type="cellIs" dxfId="104" priority="169" operator="equal">
      <formula>Q171</formula>
    </cfRule>
  </conditionalFormatting>
  <conditionalFormatting sqref="R172">
    <cfRule type="cellIs" dxfId="103" priority="168" operator="equal">
      <formula>U172</formula>
    </cfRule>
  </conditionalFormatting>
  <conditionalFormatting sqref="Q171:Q172">
    <cfRule type="cellIs" dxfId="102" priority="167" operator="equal">
      <formula>P171</formula>
    </cfRule>
  </conditionalFormatting>
  <conditionalFormatting sqref="R171:S172">
    <cfRule type="cellIs" dxfId="101" priority="166" operator="equal">
      <formula>Q171</formula>
    </cfRule>
  </conditionalFormatting>
  <conditionalFormatting sqref="R172">
    <cfRule type="cellIs" dxfId="100" priority="165" operator="equal">
      <formula>U172</formula>
    </cfRule>
  </conditionalFormatting>
  <conditionalFormatting sqref="Q158">
    <cfRule type="cellIs" dxfId="99" priority="164" operator="equal">
      <formula>P158</formula>
    </cfRule>
  </conditionalFormatting>
  <conditionalFormatting sqref="R158:S158">
    <cfRule type="cellIs" dxfId="98" priority="163" operator="equal">
      <formula>Q158</formula>
    </cfRule>
  </conditionalFormatting>
  <conditionalFormatting sqref="Q158">
    <cfRule type="cellIs" dxfId="97" priority="162" operator="equal">
      <formula>P158</formula>
    </cfRule>
  </conditionalFormatting>
  <conditionalFormatting sqref="R158:S158">
    <cfRule type="cellIs" dxfId="96" priority="161" operator="equal">
      <formula>Q158</formula>
    </cfRule>
  </conditionalFormatting>
  <conditionalFormatting sqref="O149:O157 O159:O170">
    <cfRule type="cellIs" dxfId="95" priority="160" operator="equal">
      <formula>N149</formula>
    </cfRule>
  </conditionalFormatting>
  <conditionalFormatting sqref="P149:Q157 P159:Q170">
    <cfRule type="cellIs" dxfId="94" priority="159" operator="equal">
      <formula>O149</formula>
    </cfRule>
  </conditionalFormatting>
  <conditionalFormatting sqref="Q149">
    <cfRule type="cellIs" dxfId="93" priority="158" operator="equal">
      <formula>P149</formula>
    </cfRule>
  </conditionalFormatting>
  <conditionalFormatting sqref="R149">
    <cfRule type="cellIs" dxfId="92" priority="157" operator="equal">
      <formula>Q149</formula>
    </cfRule>
  </conditionalFormatting>
  <conditionalFormatting sqref="R150:R157 R159:R170">
    <cfRule type="cellIs" dxfId="91" priority="155" operator="equal">
      <formula>S150</formula>
    </cfRule>
    <cfRule type="cellIs" dxfId="90" priority="156" operator="equal">
      <formula>Q150</formula>
    </cfRule>
  </conditionalFormatting>
  <conditionalFormatting sqref="P170">
    <cfRule type="cellIs" dxfId="89" priority="154" operator="equal">
      <formula>S170</formula>
    </cfRule>
  </conditionalFormatting>
  <conditionalFormatting sqref="O149:O157 O159:O170">
    <cfRule type="cellIs" dxfId="88" priority="153" operator="equal">
      <formula>N149</formula>
    </cfRule>
  </conditionalFormatting>
  <conditionalFormatting sqref="P149:Q157 P159:Q170">
    <cfRule type="cellIs" dxfId="87" priority="152" operator="equal">
      <formula>O149</formula>
    </cfRule>
  </conditionalFormatting>
  <conditionalFormatting sqref="Q149">
    <cfRule type="cellIs" dxfId="86" priority="151" operator="equal">
      <formula>P149</formula>
    </cfRule>
  </conditionalFormatting>
  <conditionalFormatting sqref="R149">
    <cfRule type="cellIs" dxfId="85" priority="150" operator="equal">
      <formula>Q149</formula>
    </cfRule>
  </conditionalFormatting>
  <conditionalFormatting sqref="R150:R157 R159:R170">
    <cfRule type="cellIs" dxfId="84" priority="148" operator="equal">
      <formula>S150</formula>
    </cfRule>
    <cfRule type="cellIs" dxfId="83" priority="149" operator="equal">
      <formula>Q150</formula>
    </cfRule>
  </conditionalFormatting>
  <conditionalFormatting sqref="P170">
    <cfRule type="cellIs" dxfId="82" priority="147" operator="equal">
      <formula>S170</formula>
    </cfRule>
  </conditionalFormatting>
  <conditionalFormatting sqref="O171:O172">
    <cfRule type="cellIs" dxfId="81" priority="146" operator="equal">
      <formula>N171</formula>
    </cfRule>
  </conditionalFormatting>
  <conditionalFormatting sqref="P171:Q172">
    <cfRule type="cellIs" dxfId="80" priority="145" operator="equal">
      <formula>O171</formula>
    </cfRule>
  </conditionalFormatting>
  <conditionalFormatting sqref="R171:R172">
    <cfRule type="cellIs" dxfId="79" priority="143" operator="equal">
      <formula>S171</formula>
    </cfRule>
    <cfRule type="cellIs" dxfId="78" priority="144" operator="equal">
      <formula>Q171</formula>
    </cfRule>
  </conditionalFormatting>
  <conditionalFormatting sqref="P172">
    <cfRule type="cellIs" dxfId="77" priority="142" operator="equal">
      <formula>S172</formula>
    </cfRule>
  </conditionalFormatting>
  <conditionalFormatting sqref="O171:O172">
    <cfRule type="cellIs" dxfId="76" priority="141" operator="equal">
      <formula>N171</formula>
    </cfRule>
  </conditionalFormatting>
  <conditionalFormatting sqref="P171:Q172">
    <cfRule type="cellIs" dxfId="75" priority="140" operator="equal">
      <formula>O171</formula>
    </cfRule>
  </conditionalFormatting>
  <conditionalFormatting sqref="R171:R172">
    <cfRule type="cellIs" dxfId="74" priority="138" operator="equal">
      <formula>S171</formula>
    </cfRule>
    <cfRule type="cellIs" dxfId="73" priority="139" operator="equal">
      <formula>Q171</formula>
    </cfRule>
  </conditionalFormatting>
  <conditionalFormatting sqref="P172">
    <cfRule type="cellIs" dxfId="72" priority="137" operator="equal">
      <formula>S172</formula>
    </cfRule>
  </conditionalFormatting>
  <conditionalFormatting sqref="O158">
    <cfRule type="cellIs" dxfId="71" priority="136" operator="equal">
      <formula>N158</formula>
    </cfRule>
  </conditionalFormatting>
  <conditionalFormatting sqref="P158:Q158">
    <cfRule type="cellIs" dxfId="70" priority="135" operator="equal">
      <formula>O158</formula>
    </cfRule>
  </conditionalFormatting>
  <conditionalFormatting sqref="R158">
    <cfRule type="cellIs" dxfId="69" priority="133" operator="equal">
      <formula>S158</formula>
    </cfRule>
    <cfRule type="cellIs" dxfId="68" priority="134" operator="equal">
      <formula>Q158</formula>
    </cfRule>
  </conditionalFormatting>
  <conditionalFormatting sqref="O158">
    <cfRule type="cellIs" dxfId="67" priority="132" operator="equal">
      <formula>N158</formula>
    </cfRule>
  </conditionalFormatting>
  <conditionalFormatting sqref="P158:Q158">
    <cfRule type="cellIs" dxfId="66" priority="131" operator="equal">
      <formula>O158</formula>
    </cfRule>
  </conditionalFormatting>
  <conditionalFormatting sqref="C149:C150 C164:C166">
    <cfRule type="cellIs" dxfId="65" priority="74" operator="equal">
      <formula>B149</formula>
    </cfRule>
  </conditionalFormatting>
  <conditionalFormatting sqref="D149:E150 D163:E166">
    <cfRule type="cellIs" dxfId="64" priority="73" operator="equal">
      <formula>C149</formula>
    </cfRule>
  </conditionalFormatting>
  <conditionalFormatting sqref="E149">
    <cfRule type="cellIs" dxfId="63" priority="72" operator="equal">
      <formula>D149</formula>
    </cfRule>
  </conditionalFormatting>
  <conditionalFormatting sqref="F149">
    <cfRule type="cellIs" dxfId="62" priority="71" operator="equal">
      <formula>E149</formula>
    </cfRule>
  </conditionalFormatting>
  <conditionalFormatting sqref="F150 F163:F164">
    <cfRule type="cellIs" dxfId="61" priority="69" operator="equal">
      <formula>G150</formula>
    </cfRule>
    <cfRule type="cellIs" dxfId="60" priority="70" operator="equal">
      <formula>E150</formula>
    </cfRule>
  </conditionalFormatting>
  <conditionalFormatting sqref="F165:F166">
    <cfRule type="cellIs" dxfId="59" priority="67" operator="equal">
      <formula>G165</formula>
    </cfRule>
    <cfRule type="cellIs" dxfId="58" priority="68" operator="equal">
      <formula>E165</formula>
    </cfRule>
  </conditionalFormatting>
  <conditionalFormatting sqref="F172">
    <cfRule type="cellIs" dxfId="57" priority="65" operator="equal">
      <formula>G134</formula>
    </cfRule>
    <cfRule type="cellIs" dxfId="56" priority="66" operator="equal">
      <formula>E134</formula>
    </cfRule>
  </conditionalFormatting>
  <conditionalFormatting sqref="F171">
    <cfRule type="cellIs" dxfId="55" priority="75" operator="equal">
      <formula>#REF!</formula>
    </cfRule>
    <cfRule type="cellIs" dxfId="54" priority="76" operator="equal">
      <formula>E132</formula>
    </cfRule>
  </conditionalFormatting>
  <conditionalFormatting sqref="D171:E172">
    <cfRule type="cellIs" dxfId="53" priority="77" operator="equal">
      <formula>C132</formula>
    </cfRule>
  </conditionalFormatting>
  <conditionalFormatting sqref="C171:C172">
    <cfRule type="cellIs" dxfId="52" priority="78" operator="equal">
      <formula>B132</formula>
    </cfRule>
  </conditionalFormatting>
  <conditionalFormatting sqref="C163">
    <cfRule type="cellIs" dxfId="51" priority="40" operator="equal">
      <formula>B163</formula>
    </cfRule>
  </conditionalFormatting>
  <conditionalFormatting sqref="C168">
    <cfRule type="cellIs" dxfId="50" priority="39" operator="equal">
      <formula>B168</formula>
    </cfRule>
  </conditionalFormatting>
  <conditionalFormatting sqref="D167:E168">
    <cfRule type="cellIs" dxfId="49" priority="38" operator="equal">
      <formula>C167</formula>
    </cfRule>
  </conditionalFormatting>
  <conditionalFormatting sqref="F167:F168">
    <cfRule type="cellIs" dxfId="48" priority="36" operator="equal">
      <formula>G167</formula>
    </cfRule>
    <cfRule type="cellIs" dxfId="47" priority="37" operator="equal">
      <formula>E167</formula>
    </cfRule>
  </conditionalFormatting>
  <conditionalFormatting sqref="C167">
    <cfRule type="cellIs" dxfId="46" priority="35" operator="equal">
      <formula>B167</formula>
    </cfRule>
  </conditionalFormatting>
  <conditionalFormatting sqref="C170">
    <cfRule type="cellIs" dxfId="45" priority="34" operator="equal">
      <formula>B170</formula>
    </cfRule>
  </conditionalFormatting>
  <conditionalFormatting sqref="D169:E170">
    <cfRule type="cellIs" dxfId="44" priority="33" operator="equal">
      <formula>C169</formula>
    </cfRule>
  </conditionalFormatting>
  <conditionalFormatting sqref="F169:F170">
    <cfRule type="cellIs" dxfId="43" priority="31" operator="equal">
      <formula>G169</formula>
    </cfRule>
    <cfRule type="cellIs" dxfId="42" priority="32" operator="equal">
      <formula>E169</formula>
    </cfRule>
  </conditionalFormatting>
  <conditionalFormatting sqref="C169">
    <cfRule type="cellIs" dxfId="41" priority="30" operator="equal">
      <formula>B169</formula>
    </cfRule>
  </conditionalFormatting>
  <conditionalFormatting sqref="D152:E153 D158:E158 D161:E161">
    <cfRule type="cellIs" dxfId="40" priority="29" operator="equal">
      <formula>C152</formula>
    </cfRule>
  </conditionalFormatting>
  <conditionalFormatting sqref="F152:F153 F158 F161">
    <cfRule type="cellIs" dxfId="39" priority="27" operator="equal">
      <formula>G152</formula>
    </cfRule>
    <cfRule type="cellIs" dxfId="38" priority="28" operator="equal">
      <formula>E152</formula>
    </cfRule>
  </conditionalFormatting>
  <conditionalFormatting sqref="D154:E154">
    <cfRule type="cellIs" dxfId="37" priority="26" operator="equal">
      <formula>C154</formula>
    </cfRule>
  </conditionalFormatting>
  <conditionalFormatting sqref="F154">
    <cfRule type="cellIs" dxfId="36" priority="24" operator="equal">
      <formula>G154</formula>
    </cfRule>
    <cfRule type="cellIs" dxfId="35" priority="25" operator="equal">
      <formula>E154</formula>
    </cfRule>
  </conditionalFormatting>
  <conditionalFormatting sqref="D155:E155">
    <cfRule type="cellIs" dxfId="34" priority="23" operator="equal">
      <formula>C155</formula>
    </cfRule>
  </conditionalFormatting>
  <conditionalFormatting sqref="F155">
    <cfRule type="cellIs" dxfId="33" priority="21" operator="equal">
      <formula>G155</formula>
    </cfRule>
    <cfRule type="cellIs" dxfId="32" priority="22" operator="equal">
      <formula>E155</formula>
    </cfRule>
  </conditionalFormatting>
  <conditionalFormatting sqref="D156:E156">
    <cfRule type="cellIs" dxfId="31" priority="20" operator="equal">
      <formula>C156</formula>
    </cfRule>
  </conditionalFormatting>
  <conditionalFormatting sqref="F156">
    <cfRule type="cellIs" dxfId="30" priority="18" operator="equal">
      <formula>G156</formula>
    </cfRule>
    <cfRule type="cellIs" dxfId="29" priority="19" operator="equal">
      <formula>E156</formula>
    </cfRule>
  </conditionalFormatting>
  <conditionalFormatting sqref="D157:E157">
    <cfRule type="cellIs" dxfId="28" priority="17" operator="equal">
      <formula>C157</formula>
    </cfRule>
  </conditionalFormatting>
  <conditionalFormatting sqref="F157">
    <cfRule type="cellIs" dxfId="27" priority="15" operator="equal">
      <formula>G157</formula>
    </cfRule>
    <cfRule type="cellIs" dxfId="26" priority="16" operator="equal">
      <formula>E157</formula>
    </cfRule>
  </conditionalFormatting>
  <conditionalFormatting sqref="D159:E159">
    <cfRule type="cellIs" dxfId="25" priority="14" operator="equal">
      <formula>C159</formula>
    </cfRule>
  </conditionalFormatting>
  <conditionalFormatting sqref="F159">
    <cfRule type="cellIs" dxfId="24" priority="12" operator="equal">
      <formula>G159</formula>
    </cfRule>
    <cfRule type="cellIs" dxfId="23" priority="13" operator="equal">
      <formula>E159</formula>
    </cfRule>
  </conditionalFormatting>
  <conditionalFormatting sqref="D160:E160">
    <cfRule type="cellIs" dxfId="22" priority="11" operator="equal">
      <formula>C160</formula>
    </cfRule>
  </conditionalFormatting>
  <conditionalFormatting sqref="F160">
    <cfRule type="cellIs" dxfId="21" priority="9" operator="equal">
      <formula>G160</formula>
    </cfRule>
    <cfRule type="cellIs" dxfId="20" priority="10" operator="equal">
      <formula>E160</formula>
    </cfRule>
  </conditionalFormatting>
  <conditionalFormatting sqref="B152:B153 B158 B161">
    <cfRule type="cellIs" dxfId="19" priority="8" operator="equal">
      <formula>A152</formula>
    </cfRule>
  </conditionalFormatting>
  <conditionalFormatting sqref="B154">
    <cfRule type="cellIs" dxfId="18" priority="7" operator="equal">
      <formula>A154</formula>
    </cfRule>
  </conditionalFormatting>
  <conditionalFormatting sqref="B155">
    <cfRule type="cellIs" dxfId="17" priority="6" operator="equal">
      <formula>A155</formula>
    </cfRule>
  </conditionalFormatting>
  <conditionalFormatting sqref="B156">
    <cfRule type="cellIs" dxfId="16" priority="5" operator="equal">
      <formula>A156</formula>
    </cfRule>
  </conditionalFormatting>
  <conditionalFormatting sqref="B157">
    <cfRule type="cellIs" dxfId="15" priority="4" operator="equal">
      <formula>A157</formula>
    </cfRule>
  </conditionalFormatting>
  <conditionalFormatting sqref="B159">
    <cfRule type="cellIs" dxfId="14" priority="3" operator="equal">
      <formula>A159</formula>
    </cfRule>
  </conditionalFormatting>
  <conditionalFormatting sqref="B160">
    <cfRule type="cellIs" dxfId="13" priority="2" operator="equal">
      <formula>A160</formula>
    </cfRule>
  </conditionalFormatting>
  <conditionalFormatting sqref="C152:C161">
    <cfRule type="cellIs" dxfId="12" priority="1" operator="equal">
      <formula>B152</formula>
    </cfRule>
  </conditionalFormatting>
  <hyperlinks>
    <hyperlink ref="I147" location="'HSC EXP 4AC DRRS (HSC-85)'!A1" display="Top" xr:uid="{00000000-0004-0000-0A00-000000000000}"/>
    <hyperlink ref="I148" location="Inventory!A1" display="Inventory" xr:uid="{00000000-0004-0000-0A00-000001000000}"/>
    <hyperlink ref="H1" location="Inventory!A1" display="Inventory" xr:uid="{00000000-0004-0000-0A00-000002000000}"/>
    <hyperlink ref="H2" location="'HSC EXP 4AC DRRS (HSC-85)'!A165" display="AMFOM" xr:uid="{00000000-0004-0000-0A00-000003000000}"/>
  </hyperlinks>
  <printOptions horizontalCentered="1" verticalCentered="1"/>
  <pageMargins left="0.5" right="0.25" top="0.5" bottom="0.25" header="0" footer="0"/>
  <pageSetup scale="41"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U53"/>
  <sheetViews>
    <sheetView showGridLines="0" zoomScaleNormal="100" zoomScaleSheetLayoutView="100" workbookViewId="0">
      <selection activeCell="B29" sqref="B29"/>
    </sheetView>
  </sheetViews>
  <sheetFormatPr defaultRowHeight="11.25" x14ac:dyDescent="0.2"/>
  <cols>
    <col min="1" max="1" width="62.140625" style="329" bestFit="1" customWidth="1"/>
    <col min="2" max="2" width="5.7109375" style="329" customWidth="1"/>
    <col min="3" max="6" width="5.7109375" style="326" customWidth="1"/>
    <col min="7" max="15" width="5.7109375" style="327" customWidth="1"/>
    <col min="16" max="17" width="5.7109375" style="328" customWidth="1"/>
    <col min="18" max="29" width="5.7109375" style="329" customWidth="1"/>
    <col min="30" max="30" width="7" style="329" bestFit="1" customWidth="1"/>
    <col min="31" max="32" width="5.7109375" style="329" customWidth="1"/>
    <col min="33" max="16384" width="9.140625" style="329"/>
  </cols>
  <sheetData>
    <row r="1" spans="1:47" s="320" customFormat="1" ht="18.75" x14ac:dyDescent="0.3">
      <c r="A1" s="626" t="s">
        <v>269</v>
      </c>
      <c r="B1" s="626"/>
      <c r="C1" s="626"/>
      <c r="D1" s="626"/>
      <c r="F1" s="626"/>
      <c r="H1" s="319" t="s">
        <v>62</v>
      </c>
      <c r="L1" s="321" t="s">
        <v>3</v>
      </c>
      <c r="M1" s="799">
        <v>44835</v>
      </c>
      <c r="N1" s="799"/>
      <c r="O1" s="322"/>
      <c r="P1" s="323"/>
      <c r="Q1" s="323"/>
      <c r="AC1" s="423" t="s">
        <v>63</v>
      </c>
      <c r="AD1" s="628" t="s">
        <v>270</v>
      </c>
    </row>
    <row r="2" spans="1:47" ht="12" x14ac:dyDescent="0.2">
      <c r="A2" s="330" t="s">
        <v>271</v>
      </c>
      <c r="B2" s="331">
        <v>18</v>
      </c>
      <c r="C2" s="325"/>
    </row>
    <row r="3" spans="1:47" ht="12" x14ac:dyDescent="0.2">
      <c r="C3" s="720"/>
    </row>
    <row r="4" spans="1:47" ht="12" x14ac:dyDescent="0.2">
      <c r="A4" s="330"/>
      <c r="B4" s="331"/>
      <c r="C4" s="720"/>
    </row>
    <row r="5" spans="1:47" x14ac:dyDescent="0.2">
      <c r="A5" s="324"/>
      <c r="B5" s="332"/>
      <c r="C5" s="329"/>
    </row>
    <row r="6" spans="1:47" x14ac:dyDescent="0.2">
      <c r="A6" s="324"/>
      <c r="B6" s="332"/>
      <c r="C6" s="329"/>
    </row>
    <row r="7" spans="1:47" ht="56.25" customHeight="1" x14ac:dyDescent="0.2">
      <c r="A7" s="333" t="s">
        <v>77</v>
      </c>
      <c r="B7" s="142" t="s">
        <v>272</v>
      </c>
      <c r="C7" s="356"/>
      <c r="F7" s="329"/>
    </row>
    <row r="8" spans="1:47" ht="12" x14ac:dyDescent="0.2">
      <c r="A8" s="333" t="s">
        <v>85</v>
      </c>
      <c r="B8" s="334" t="s">
        <v>273</v>
      </c>
      <c r="C8" s="357"/>
      <c r="F8" s="329"/>
    </row>
    <row r="9" spans="1:47" s="335" customFormat="1" ht="12" x14ac:dyDescent="0.2">
      <c r="A9" s="333" t="s">
        <v>114</v>
      </c>
      <c r="B9" s="143">
        <v>1</v>
      </c>
      <c r="C9" s="358"/>
      <c r="D9" s="326"/>
      <c r="E9" s="326"/>
      <c r="G9" s="327"/>
      <c r="H9" s="327"/>
      <c r="I9" s="327"/>
      <c r="J9" s="327"/>
      <c r="K9" s="327"/>
      <c r="L9" s="327"/>
      <c r="M9" s="327"/>
      <c r="N9" s="327"/>
      <c r="O9" s="327"/>
      <c r="P9" s="336"/>
      <c r="Q9" s="336"/>
    </row>
    <row r="10" spans="1:47" s="335" customFormat="1" ht="12" x14ac:dyDescent="0.2">
      <c r="A10" s="333" t="s">
        <v>115</v>
      </c>
      <c r="B10" s="143" t="s">
        <v>272</v>
      </c>
      <c r="C10" s="359"/>
      <c r="D10" s="326"/>
      <c r="E10" s="326"/>
      <c r="G10" s="327"/>
      <c r="H10" s="327"/>
      <c r="I10" s="327"/>
      <c r="J10" s="327"/>
      <c r="K10" s="327"/>
      <c r="L10" s="327"/>
      <c r="M10" s="327"/>
      <c r="N10" s="327"/>
      <c r="O10" s="327"/>
      <c r="P10" s="336"/>
      <c r="Q10" s="336"/>
    </row>
    <row r="11" spans="1:47" s="335" customFormat="1" ht="12.75" x14ac:dyDescent="0.2">
      <c r="A11" s="337" t="s">
        <v>136</v>
      </c>
      <c r="B11" s="143"/>
      <c r="C11" s="358"/>
      <c r="D11" s="326"/>
      <c r="E11" s="326"/>
      <c r="G11" s="327"/>
      <c r="H11" s="338"/>
      <c r="I11" s="327"/>
      <c r="J11" s="327"/>
      <c r="K11" s="327"/>
      <c r="L11" s="327"/>
      <c r="M11" s="327"/>
      <c r="N11" s="327"/>
      <c r="O11" s="327"/>
      <c r="P11" s="336"/>
      <c r="Q11" s="336"/>
    </row>
    <row r="12" spans="1:47" s="335" customFormat="1" ht="12" x14ac:dyDescent="0.2">
      <c r="A12" s="333" t="s">
        <v>137</v>
      </c>
      <c r="B12" s="71" t="s">
        <v>193</v>
      </c>
      <c r="C12" s="360"/>
      <c r="D12" s="326"/>
      <c r="E12" s="326"/>
      <c r="G12" s="327"/>
      <c r="H12" s="339"/>
      <c r="I12" s="327"/>
      <c r="J12" s="327"/>
      <c r="K12" s="327"/>
      <c r="L12" s="327"/>
      <c r="M12" s="327"/>
      <c r="N12" s="327"/>
      <c r="O12" s="327"/>
      <c r="P12" s="336"/>
      <c r="Q12" s="336"/>
    </row>
    <row r="13" spans="1:47" s="335" customFormat="1" ht="12" x14ac:dyDescent="0.2">
      <c r="A13" s="333" t="s">
        <v>138</v>
      </c>
      <c r="B13" s="71">
        <v>0.75</v>
      </c>
      <c r="C13" s="360"/>
      <c r="D13" s="326"/>
      <c r="E13" s="326"/>
      <c r="G13" s="327"/>
      <c r="H13" s="340"/>
      <c r="I13" s="327"/>
      <c r="J13" s="327"/>
      <c r="K13" s="327"/>
      <c r="L13" s="327"/>
      <c r="M13" s="327"/>
      <c r="N13" s="327"/>
      <c r="O13" s="327"/>
      <c r="P13" s="336"/>
      <c r="Q13" s="336"/>
    </row>
    <row r="14" spans="1:47" s="335" customFormat="1" ht="12" x14ac:dyDescent="0.2">
      <c r="A14" s="672" t="s">
        <v>139</v>
      </c>
      <c r="B14" s="71">
        <v>0.25</v>
      </c>
      <c r="C14" s="360"/>
      <c r="D14" s="326"/>
      <c r="E14" s="326"/>
      <c r="G14" s="327"/>
      <c r="H14" s="340"/>
      <c r="I14" s="327"/>
      <c r="J14" s="327"/>
      <c r="K14" s="327"/>
      <c r="L14" s="327"/>
      <c r="M14" s="327"/>
      <c r="N14" s="327"/>
      <c r="O14" s="327"/>
      <c r="P14" s="336"/>
      <c r="Q14" s="336"/>
    </row>
    <row r="15" spans="1:47" ht="12.75" x14ac:dyDescent="0.2">
      <c r="A15" s="341" t="s">
        <v>274</v>
      </c>
      <c r="B15" s="342"/>
      <c r="C15" s="361"/>
      <c r="D15" s="343"/>
      <c r="E15" s="364"/>
      <c r="F15" s="329"/>
      <c r="G15" s="344"/>
      <c r="H15" s="329"/>
      <c r="I15" s="344"/>
      <c r="J15" s="344"/>
      <c r="K15" s="344"/>
      <c r="L15" s="344"/>
      <c r="M15" s="344"/>
      <c r="N15" s="344"/>
      <c r="O15" s="344"/>
      <c r="P15" s="345"/>
      <c r="Q15" s="345"/>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row>
    <row r="16" spans="1:47" s="351" customFormat="1" ht="12" x14ac:dyDescent="0.2">
      <c r="A16" s="205" t="s">
        <v>140</v>
      </c>
      <c r="B16" s="347">
        <v>8</v>
      </c>
      <c r="C16" s="362"/>
      <c r="D16" s="348"/>
      <c r="E16" s="366"/>
      <c r="G16" s="349"/>
      <c r="H16" s="349"/>
      <c r="I16" s="349"/>
      <c r="J16" s="349"/>
      <c r="K16" s="349"/>
      <c r="L16" s="349"/>
      <c r="M16" s="349"/>
      <c r="N16" s="349"/>
      <c r="O16" s="349"/>
      <c r="P16" s="350"/>
      <c r="Q16" s="350"/>
    </row>
    <row r="17" spans="1:47" ht="12" x14ac:dyDescent="0.2">
      <c r="A17" s="205" t="s">
        <v>141</v>
      </c>
      <c r="B17" s="367">
        <f>B16*B13</f>
        <v>6</v>
      </c>
      <c r="C17" s="362"/>
      <c r="D17" s="343"/>
      <c r="E17" s="366"/>
      <c r="G17" s="344"/>
      <c r="H17" s="344"/>
      <c r="I17" s="344"/>
      <c r="J17" s="344"/>
      <c r="K17" s="344"/>
      <c r="L17" s="344"/>
      <c r="M17" s="344"/>
      <c r="N17" s="344"/>
      <c r="O17" s="344"/>
      <c r="P17" s="345"/>
      <c r="Q17" s="345"/>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row>
    <row r="18" spans="1:47" ht="12" x14ac:dyDescent="0.2">
      <c r="A18" s="620" t="s">
        <v>142</v>
      </c>
      <c r="B18" s="367">
        <f>B16*B14</f>
        <v>2</v>
      </c>
      <c r="C18" s="362"/>
      <c r="D18" s="343"/>
      <c r="E18" s="366"/>
      <c r="G18" s="344"/>
      <c r="H18" s="344"/>
      <c r="I18" s="344"/>
      <c r="J18" s="344"/>
      <c r="K18" s="344"/>
      <c r="L18" s="344"/>
      <c r="M18" s="344"/>
      <c r="N18" s="344"/>
      <c r="O18" s="344"/>
      <c r="P18" s="345"/>
      <c r="Q18" s="345"/>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row>
    <row r="19" spans="1:47" ht="12.75" x14ac:dyDescent="0.2">
      <c r="A19" s="154" t="s">
        <v>143</v>
      </c>
      <c r="B19" s="45"/>
      <c r="C19" s="364"/>
      <c r="D19" s="343"/>
      <c r="E19" s="343"/>
      <c r="F19" s="343"/>
      <c r="G19" s="344"/>
      <c r="H19" s="344"/>
      <c r="I19" s="344"/>
      <c r="J19" s="344"/>
      <c r="K19" s="344"/>
      <c r="L19" s="344"/>
      <c r="M19" s="344"/>
      <c r="N19" s="344"/>
      <c r="O19" s="344"/>
      <c r="P19" s="345"/>
      <c r="Q19" s="345"/>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row>
    <row r="20" spans="1:47" s="351" customFormat="1" ht="12" x14ac:dyDescent="0.2">
      <c r="A20" s="421" t="s">
        <v>144</v>
      </c>
      <c r="B20" s="716">
        <v>2</v>
      </c>
      <c r="C20" s="428"/>
      <c r="D20" s="348"/>
      <c r="E20" s="348"/>
      <c r="F20" s="348"/>
      <c r="G20" s="349"/>
      <c r="H20" s="349"/>
      <c r="I20" s="349"/>
      <c r="J20" s="349"/>
      <c r="K20" s="349"/>
      <c r="L20" s="349"/>
      <c r="M20" s="349"/>
      <c r="N20" s="349"/>
      <c r="O20" s="349"/>
      <c r="P20" s="350"/>
      <c r="Q20" s="350"/>
    </row>
    <row r="21" spans="1:47" ht="12" x14ac:dyDescent="0.2">
      <c r="A21" s="421" t="s">
        <v>145</v>
      </c>
      <c r="B21" s="716">
        <v>2</v>
      </c>
      <c r="C21" s="365"/>
      <c r="D21" s="343"/>
      <c r="E21" s="343"/>
      <c r="F21" s="343"/>
      <c r="G21" s="344"/>
      <c r="H21" s="344"/>
      <c r="I21" s="344"/>
      <c r="J21" s="344"/>
      <c r="K21" s="344"/>
      <c r="L21" s="344"/>
      <c r="M21" s="344"/>
      <c r="N21" s="344"/>
      <c r="O21" s="344"/>
      <c r="P21" s="345"/>
      <c r="Q21" s="345"/>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row>
    <row r="22" spans="1:47" ht="12" x14ac:dyDescent="0.2">
      <c r="A22" s="421" t="s">
        <v>146</v>
      </c>
      <c r="B22" s="716">
        <v>2</v>
      </c>
      <c r="C22" s="365"/>
      <c r="D22" s="343"/>
      <c r="E22" s="343"/>
      <c r="F22" s="343"/>
      <c r="G22" s="344"/>
      <c r="H22" s="344"/>
      <c r="I22" s="344"/>
      <c r="J22" s="344"/>
      <c r="K22" s="344"/>
      <c r="L22" s="344"/>
      <c r="M22" s="344"/>
      <c r="N22" s="344"/>
      <c r="O22" s="344"/>
      <c r="P22" s="345"/>
      <c r="Q22" s="345"/>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row>
    <row r="23" spans="1:47" s="351" customFormat="1" ht="12" x14ac:dyDescent="0.2">
      <c r="A23" s="421" t="s">
        <v>147</v>
      </c>
      <c r="B23" s="716">
        <v>2</v>
      </c>
      <c r="C23" s="365"/>
      <c r="D23" s="348"/>
      <c r="E23" s="348"/>
      <c r="F23" s="348"/>
      <c r="G23" s="349"/>
      <c r="H23" s="349"/>
      <c r="I23" s="349"/>
      <c r="J23" s="349"/>
      <c r="K23" s="349"/>
      <c r="L23" s="349"/>
      <c r="M23" s="349"/>
      <c r="N23" s="349"/>
      <c r="O23" s="349"/>
      <c r="P23" s="350"/>
      <c r="Q23" s="350"/>
    </row>
    <row r="24" spans="1:47" ht="12" x14ac:dyDescent="0.2">
      <c r="A24" s="421" t="s">
        <v>148</v>
      </c>
      <c r="B24" s="716">
        <v>2</v>
      </c>
      <c r="C24" s="364"/>
      <c r="D24" s="343"/>
      <c r="E24" s="343"/>
      <c r="F24" s="343"/>
      <c r="G24" s="344"/>
      <c r="H24" s="344"/>
      <c r="I24" s="344"/>
      <c r="J24" s="344"/>
      <c r="K24" s="344"/>
      <c r="L24" s="344"/>
      <c r="M24" s="344"/>
      <c r="N24" s="344"/>
      <c r="O24" s="344"/>
      <c r="P24" s="345"/>
      <c r="Q24" s="345"/>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row>
    <row r="25" spans="1:47" ht="12" x14ac:dyDescent="0.2">
      <c r="A25" s="421" t="s">
        <v>149</v>
      </c>
      <c r="B25" s="716">
        <v>2</v>
      </c>
      <c r="C25" s="343"/>
      <c r="D25" s="343"/>
      <c r="E25" s="343"/>
      <c r="F25" s="343"/>
      <c r="G25" s="344"/>
      <c r="H25" s="344"/>
      <c r="I25" s="344"/>
      <c r="J25" s="344"/>
      <c r="K25" s="344"/>
      <c r="L25" s="344"/>
      <c r="M25" s="344"/>
      <c r="N25" s="344"/>
      <c r="O25" s="344"/>
      <c r="P25" s="345"/>
      <c r="Q25" s="345"/>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row>
    <row r="26" spans="1:47" ht="12" x14ac:dyDescent="0.2">
      <c r="A26" s="421" t="s">
        <v>150</v>
      </c>
      <c r="B26" s="716">
        <v>2</v>
      </c>
      <c r="C26" s="343"/>
      <c r="D26" s="343"/>
      <c r="E26" s="343"/>
      <c r="F26" s="343"/>
      <c r="G26" s="344"/>
      <c r="H26" s="344"/>
      <c r="I26" s="344"/>
      <c r="J26" s="344"/>
      <c r="K26" s="344"/>
      <c r="L26" s="344"/>
      <c r="M26" s="344"/>
      <c r="N26" s="344"/>
      <c r="O26" s="344"/>
      <c r="P26" s="345"/>
      <c r="Q26" s="345"/>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row>
    <row r="27" spans="1:47" ht="12" x14ac:dyDescent="0.2">
      <c r="A27" s="421" t="s">
        <v>151</v>
      </c>
      <c r="B27" s="716">
        <v>2</v>
      </c>
      <c r="C27" s="343"/>
      <c r="D27" s="343"/>
      <c r="E27" s="343"/>
      <c r="F27" s="343"/>
      <c r="G27" s="344"/>
      <c r="H27" s="344"/>
      <c r="I27" s="344"/>
      <c r="J27" s="344"/>
      <c r="K27" s="344"/>
      <c r="L27" s="344"/>
      <c r="M27" s="344"/>
      <c r="N27" s="344"/>
      <c r="O27" s="344"/>
      <c r="P27" s="345"/>
      <c r="Q27" s="345"/>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row>
    <row r="28" spans="1:47" ht="12" x14ac:dyDescent="0.2">
      <c r="A28" s="421" t="s">
        <v>152</v>
      </c>
      <c r="B28" s="716">
        <v>2</v>
      </c>
      <c r="C28" s="343"/>
      <c r="D28" s="343"/>
      <c r="E28" s="343"/>
      <c r="F28" s="343"/>
      <c r="G28" s="344"/>
      <c r="H28" s="344"/>
      <c r="I28" s="344"/>
      <c r="J28" s="344"/>
      <c r="K28" s="344"/>
      <c r="L28" s="344"/>
      <c r="M28" s="344"/>
      <c r="N28" s="344"/>
      <c r="O28" s="344"/>
      <c r="P28" s="345"/>
      <c r="Q28" s="345"/>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row>
    <row r="29" spans="1:47" ht="12.75" x14ac:dyDescent="0.2">
      <c r="A29" s="422" t="s">
        <v>153</v>
      </c>
      <c r="B29" s="716">
        <v>6</v>
      </c>
      <c r="C29" s="343"/>
      <c r="D29" s="343"/>
      <c r="E29" s="343"/>
      <c r="F29" s="343"/>
      <c r="G29" s="344"/>
      <c r="H29" s="344"/>
      <c r="I29" s="344"/>
      <c r="J29" s="344"/>
      <c r="K29" s="344"/>
      <c r="L29" s="344"/>
      <c r="M29" s="344"/>
      <c r="N29" s="344"/>
      <c r="O29" s="344"/>
      <c r="P29" s="345"/>
      <c r="Q29" s="345"/>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row>
    <row r="30" spans="1:47" s="432" customFormat="1" ht="12.75" x14ac:dyDescent="0.2">
      <c r="A30" s="155" t="s">
        <v>154</v>
      </c>
      <c r="B30" s="153"/>
    </row>
    <row r="31" spans="1:47" s="433" customFormat="1" ht="12" x14ac:dyDescent="0.2">
      <c r="A31" s="430" t="s">
        <v>155</v>
      </c>
      <c r="B31" s="429"/>
    </row>
    <row r="32" spans="1:47" s="434" customFormat="1" ht="12" x14ac:dyDescent="0.2">
      <c r="A32" s="431" t="s">
        <v>156</v>
      </c>
      <c r="B32" s="429"/>
    </row>
    <row r="33" spans="1:47" s="433" customFormat="1" ht="12" x14ac:dyDescent="0.2">
      <c r="A33" s="430" t="s">
        <v>157</v>
      </c>
      <c r="B33" s="429"/>
    </row>
    <row r="34" spans="1:47" s="434" customFormat="1" ht="12" x14ac:dyDescent="0.2">
      <c r="A34" s="431" t="s">
        <v>158</v>
      </c>
      <c r="B34" s="429"/>
    </row>
    <row r="35" spans="1:47" s="433" customFormat="1" ht="12" x14ac:dyDescent="0.2">
      <c r="A35" s="430" t="s">
        <v>159</v>
      </c>
      <c r="B35" s="429"/>
    </row>
    <row r="36" spans="1:47" s="434" customFormat="1" ht="12" x14ac:dyDescent="0.2">
      <c r="A36" s="431" t="s">
        <v>160</v>
      </c>
      <c r="B36" s="429"/>
    </row>
    <row r="37" spans="1:47" s="433" customFormat="1" ht="12" x14ac:dyDescent="0.2">
      <c r="A37" s="430" t="s">
        <v>161</v>
      </c>
      <c r="B37" s="429"/>
    </row>
    <row r="38" spans="1:47" s="434" customFormat="1" ht="12" x14ac:dyDescent="0.2">
      <c r="A38" s="431" t="s">
        <v>162</v>
      </c>
      <c r="B38" s="429"/>
    </row>
    <row r="39" spans="1:47" s="433" customFormat="1" ht="12" x14ac:dyDescent="0.2">
      <c r="A39" s="430" t="s">
        <v>163</v>
      </c>
      <c r="B39" s="429"/>
    </row>
    <row r="40" spans="1:47" s="434" customFormat="1" ht="12" x14ac:dyDescent="0.2">
      <c r="A40" s="431" t="s">
        <v>164</v>
      </c>
      <c r="B40" s="429"/>
    </row>
    <row r="41" spans="1:47" ht="12.75" x14ac:dyDescent="0.2">
      <c r="A41" s="155" t="s">
        <v>166</v>
      </c>
      <c r="B41" s="368"/>
      <c r="C41" s="343"/>
      <c r="D41" s="343"/>
      <c r="E41" s="343"/>
      <c r="F41" s="343"/>
      <c r="G41" s="344"/>
      <c r="H41" s="344"/>
      <c r="I41" s="344"/>
      <c r="J41" s="344"/>
      <c r="K41" s="344"/>
      <c r="L41" s="344"/>
      <c r="M41" s="344"/>
      <c r="N41" s="344"/>
      <c r="O41" s="344"/>
      <c r="P41" s="345"/>
      <c r="Q41" s="345"/>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row>
    <row r="42" spans="1:47" ht="12" x14ac:dyDescent="0.2">
      <c r="A42" s="205" t="s">
        <v>167</v>
      </c>
      <c r="B42" s="354">
        <v>0.8</v>
      </c>
      <c r="C42" s="343"/>
      <c r="D42" s="343"/>
      <c r="E42" s="343"/>
      <c r="F42" s="343"/>
      <c r="G42" s="344"/>
      <c r="H42" s="344"/>
      <c r="I42" s="344"/>
      <c r="J42" s="344"/>
      <c r="K42" s="344"/>
      <c r="L42" s="344"/>
      <c r="M42" s="344"/>
      <c r="N42" s="344"/>
      <c r="O42" s="344"/>
      <c r="P42" s="345"/>
      <c r="Q42" s="345"/>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row>
    <row r="43" spans="1:47" ht="12" x14ac:dyDescent="0.2">
      <c r="A43" s="205" t="s">
        <v>168</v>
      </c>
      <c r="B43" s="354">
        <v>0.8</v>
      </c>
      <c r="C43" s="343"/>
      <c r="D43" s="343"/>
      <c r="E43" s="343"/>
      <c r="F43" s="343"/>
      <c r="G43" s="344"/>
      <c r="H43" s="344"/>
      <c r="I43" s="344"/>
      <c r="J43" s="344"/>
      <c r="K43" s="344"/>
      <c r="L43" s="344"/>
      <c r="M43" s="344"/>
      <c r="N43" s="344"/>
      <c r="O43" s="344"/>
      <c r="P43" s="345"/>
      <c r="Q43" s="345"/>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row>
    <row r="44" spans="1:47" ht="12" x14ac:dyDescent="0.2">
      <c r="A44" s="205" t="s">
        <v>169</v>
      </c>
      <c r="B44" s="354">
        <v>0.75</v>
      </c>
    </row>
    <row r="45" spans="1:47" x14ac:dyDescent="0.2">
      <c r="A45" s="346"/>
      <c r="B45" s="346"/>
    </row>
    <row r="46" spans="1:47" x14ac:dyDescent="0.2">
      <c r="A46" s="346"/>
      <c r="B46" s="346"/>
    </row>
    <row r="47" spans="1:47" x14ac:dyDescent="0.2">
      <c r="A47" s="346"/>
      <c r="B47" s="346"/>
    </row>
    <row r="48" spans="1:47" x14ac:dyDescent="0.2">
      <c r="A48" s="346"/>
      <c r="B48" s="346"/>
    </row>
    <row r="49" spans="1:2" x14ac:dyDescent="0.2">
      <c r="A49" s="346"/>
      <c r="B49" s="346"/>
    </row>
    <row r="50" spans="1:2" x14ac:dyDescent="0.2">
      <c r="A50" s="346"/>
      <c r="B50" s="346"/>
    </row>
    <row r="51" spans="1:2" x14ac:dyDescent="0.2">
      <c r="A51" s="346"/>
      <c r="B51" s="346"/>
    </row>
    <row r="52" spans="1:2" x14ac:dyDescent="0.2">
      <c r="A52" s="346"/>
      <c r="B52" s="346"/>
    </row>
    <row r="53" spans="1:2" x14ac:dyDescent="0.2">
      <c r="A53" s="346"/>
      <c r="B53" s="346"/>
    </row>
  </sheetData>
  <mergeCells count="1">
    <mergeCell ref="M1:N1"/>
  </mergeCells>
  <hyperlinks>
    <hyperlink ref="H1" location="Inventory!A1" display="Inventory" xr:uid="{00000000-0004-0000-0B00-000000000000}"/>
  </hyperlinks>
  <pageMargins left="0.75" right="0.75" top="1" bottom="1" header="0.5" footer="0.5"/>
  <pageSetup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53"/>
  <sheetViews>
    <sheetView showGridLines="0" zoomScaleNormal="100" zoomScaleSheetLayoutView="100" workbookViewId="0">
      <selection activeCell="H1" sqref="H1"/>
    </sheetView>
  </sheetViews>
  <sheetFormatPr defaultRowHeight="11.25" x14ac:dyDescent="0.2"/>
  <cols>
    <col min="1" max="1" width="62.140625" style="329" bestFit="1" customWidth="1"/>
    <col min="2" max="2" width="5.7109375" style="329" customWidth="1"/>
    <col min="3" max="6" width="5.7109375" style="326" customWidth="1"/>
    <col min="7" max="15" width="5.7109375" style="327" customWidth="1"/>
    <col min="16" max="17" width="5.7109375" style="328" customWidth="1"/>
    <col min="18" max="29" width="5.7109375" style="329" customWidth="1"/>
    <col min="30" max="30" width="7" style="329" bestFit="1" customWidth="1"/>
    <col min="31" max="32" width="5.7109375" style="329" customWidth="1"/>
    <col min="33" max="16384" width="9.140625" style="329"/>
  </cols>
  <sheetData>
    <row r="1" spans="1:47" s="320" customFormat="1" ht="18.75" x14ac:dyDescent="0.3">
      <c r="A1" s="626" t="s">
        <v>275</v>
      </c>
      <c r="B1" s="626"/>
      <c r="C1" s="626"/>
      <c r="D1" s="626"/>
      <c r="F1" s="626"/>
      <c r="H1" s="319" t="s">
        <v>62</v>
      </c>
      <c r="L1" s="321" t="s">
        <v>3</v>
      </c>
      <c r="M1" s="799">
        <v>44835</v>
      </c>
      <c r="N1" s="799"/>
      <c r="O1" s="322"/>
      <c r="P1" s="323"/>
      <c r="Q1" s="323"/>
      <c r="AC1" s="423" t="s">
        <v>63</v>
      </c>
      <c r="AD1" s="424">
        <v>7.11</v>
      </c>
    </row>
    <row r="2" spans="1:47" ht="12" x14ac:dyDescent="0.2">
      <c r="A2" s="330" t="s">
        <v>276</v>
      </c>
      <c r="B2" s="331">
        <v>22</v>
      </c>
      <c r="C2" s="325"/>
    </row>
    <row r="3" spans="1:47" ht="12" x14ac:dyDescent="0.2">
      <c r="A3" s="330" t="s">
        <v>277</v>
      </c>
      <c r="B3" s="331">
        <v>4</v>
      </c>
      <c r="C3" s="720"/>
    </row>
    <row r="4" spans="1:47" ht="12" x14ac:dyDescent="0.2">
      <c r="C4" s="720"/>
    </row>
    <row r="5" spans="1:47" x14ac:dyDescent="0.2">
      <c r="A5" s="324"/>
      <c r="B5" s="332"/>
      <c r="C5" s="329"/>
    </row>
    <row r="6" spans="1:47" x14ac:dyDescent="0.2">
      <c r="A6" s="324"/>
      <c r="B6" s="332"/>
      <c r="C6" s="329"/>
    </row>
    <row r="7" spans="1:47" ht="56.25" customHeight="1" x14ac:dyDescent="0.2">
      <c r="A7" s="333" t="s">
        <v>77</v>
      </c>
      <c r="B7" s="142" t="s">
        <v>272</v>
      </c>
      <c r="C7" s="356"/>
      <c r="F7" s="329"/>
    </row>
    <row r="8" spans="1:47" ht="12" x14ac:dyDescent="0.2">
      <c r="A8" s="333" t="s">
        <v>85</v>
      </c>
      <c r="B8" s="334" t="s">
        <v>273</v>
      </c>
      <c r="C8" s="357"/>
      <c r="F8" s="329"/>
    </row>
    <row r="9" spans="1:47" s="335" customFormat="1" ht="12" x14ac:dyDescent="0.2">
      <c r="A9" s="333" t="s">
        <v>114</v>
      </c>
      <c r="B9" s="143">
        <v>1</v>
      </c>
      <c r="C9" s="358"/>
      <c r="D9" s="326"/>
      <c r="E9" s="326"/>
      <c r="G9" s="327"/>
      <c r="H9" s="327"/>
      <c r="I9" s="327"/>
      <c r="J9" s="327"/>
      <c r="K9" s="327"/>
      <c r="L9" s="327"/>
      <c r="M9" s="327"/>
      <c r="N9" s="327"/>
      <c r="O9" s="327"/>
      <c r="P9" s="336"/>
      <c r="Q9" s="336"/>
    </row>
    <row r="10" spans="1:47" s="335" customFormat="1" ht="12" x14ac:dyDescent="0.2">
      <c r="A10" s="333" t="s">
        <v>115</v>
      </c>
      <c r="B10" s="143" t="s">
        <v>272</v>
      </c>
      <c r="C10" s="359"/>
      <c r="D10" s="326"/>
      <c r="E10" s="326"/>
      <c r="G10" s="327"/>
      <c r="H10" s="327"/>
      <c r="I10" s="327"/>
      <c r="J10" s="327"/>
      <c r="K10" s="327"/>
      <c r="L10" s="327"/>
      <c r="M10" s="327"/>
      <c r="N10" s="327"/>
      <c r="O10" s="327"/>
      <c r="P10" s="336"/>
      <c r="Q10" s="336"/>
    </row>
    <row r="11" spans="1:47" s="335" customFormat="1" ht="12.75" x14ac:dyDescent="0.2">
      <c r="A11" s="337" t="s">
        <v>136</v>
      </c>
      <c r="B11" s="143"/>
      <c r="C11" s="358"/>
      <c r="D11" s="326"/>
      <c r="E11" s="326"/>
      <c r="G11" s="327"/>
      <c r="H11" s="338"/>
      <c r="I11" s="327"/>
      <c r="J11" s="327"/>
      <c r="K11" s="327"/>
      <c r="L11" s="327"/>
      <c r="M11" s="327"/>
      <c r="N11" s="327"/>
      <c r="O11" s="327"/>
      <c r="P11" s="336"/>
      <c r="Q11" s="336"/>
    </row>
    <row r="12" spans="1:47" s="335" customFormat="1" ht="12" x14ac:dyDescent="0.2">
      <c r="A12" s="333" t="s">
        <v>137</v>
      </c>
      <c r="B12" s="71" t="s">
        <v>193</v>
      </c>
      <c r="C12" s="360"/>
      <c r="D12" s="326"/>
      <c r="E12" s="326"/>
      <c r="G12" s="327"/>
      <c r="H12" s="339"/>
      <c r="I12" s="327"/>
      <c r="J12" s="327"/>
      <c r="K12" s="327"/>
      <c r="L12" s="327"/>
      <c r="M12" s="327"/>
      <c r="N12" s="327"/>
      <c r="O12" s="327"/>
      <c r="P12" s="336"/>
      <c r="Q12" s="336"/>
    </row>
    <row r="13" spans="1:47" s="335" customFormat="1" ht="12" x14ac:dyDescent="0.2">
      <c r="A13" s="333" t="s">
        <v>138</v>
      </c>
      <c r="B13" s="71">
        <v>0.75</v>
      </c>
      <c r="C13" s="360"/>
      <c r="D13" s="326"/>
      <c r="E13" s="326"/>
      <c r="G13" s="327"/>
      <c r="H13" s="340"/>
      <c r="I13" s="327"/>
      <c r="J13" s="327"/>
      <c r="K13" s="327"/>
      <c r="L13" s="327"/>
      <c r="M13" s="327"/>
      <c r="N13" s="327"/>
      <c r="O13" s="327"/>
      <c r="P13" s="336"/>
      <c r="Q13" s="336"/>
    </row>
    <row r="14" spans="1:47" s="335" customFormat="1" ht="12" x14ac:dyDescent="0.2">
      <c r="A14" s="672" t="s">
        <v>139</v>
      </c>
      <c r="B14" s="71">
        <v>0.25</v>
      </c>
      <c r="C14" s="360"/>
      <c r="D14" s="326"/>
      <c r="E14" s="326"/>
      <c r="G14" s="327"/>
      <c r="H14" s="340"/>
      <c r="I14" s="327"/>
      <c r="J14" s="327"/>
      <c r="K14" s="327"/>
      <c r="L14" s="327"/>
      <c r="M14" s="327"/>
      <c r="N14" s="327"/>
      <c r="O14" s="327"/>
      <c r="P14" s="336"/>
      <c r="Q14" s="336"/>
    </row>
    <row r="15" spans="1:47" ht="12.75" x14ac:dyDescent="0.2">
      <c r="A15" s="341" t="s">
        <v>278</v>
      </c>
      <c r="B15" s="342"/>
      <c r="C15" s="361"/>
      <c r="D15" s="343"/>
      <c r="E15" s="366"/>
      <c r="F15" s="343"/>
      <c r="G15" s="344"/>
      <c r="H15" s="344"/>
      <c r="I15" s="344"/>
      <c r="J15" s="344"/>
      <c r="K15" s="344"/>
      <c r="L15" s="344"/>
      <c r="M15" s="344"/>
      <c r="N15" s="344"/>
      <c r="O15" s="344"/>
      <c r="P15" s="345"/>
      <c r="Q15" s="345"/>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row>
    <row r="16" spans="1:47" s="351" customFormat="1" ht="12" x14ac:dyDescent="0.2">
      <c r="A16" s="205" t="s">
        <v>140</v>
      </c>
      <c r="B16" s="352">
        <v>10</v>
      </c>
      <c r="C16" s="363"/>
      <c r="D16" s="348"/>
      <c r="E16" s="366"/>
      <c r="F16" s="348"/>
      <c r="G16" s="349"/>
      <c r="H16" s="349"/>
      <c r="I16" s="349"/>
      <c r="J16" s="349"/>
      <c r="K16" s="349"/>
      <c r="L16" s="349"/>
      <c r="M16" s="349"/>
      <c r="N16" s="349"/>
      <c r="O16" s="349"/>
      <c r="P16" s="350"/>
      <c r="Q16" s="350"/>
    </row>
    <row r="17" spans="1:47" ht="12" x14ac:dyDescent="0.2">
      <c r="A17" s="205" t="s">
        <v>141</v>
      </c>
      <c r="B17" s="353">
        <f>B16*B13</f>
        <v>7.5</v>
      </c>
      <c r="C17" s="363"/>
      <c r="D17" s="343"/>
      <c r="E17" s="343"/>
      <c r="F17" s="343"/>
      <c r="G17" s="344"/>
      <c r="H17" s="344"/>
      <c r="I17" s="344"/>
      <c r="J17" s="344"/>
      <c r="K17" s="344"/>
      <c r="L17" s="344"/>
      <c r="M17" s="344"/>
      <c r="N17" s="344"/>
      <c r="O17" s="344"/>
      <c r="P17" s="345"/>
      <c r="Q17" s="345"/>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row>
    <row r="18" spans="1:47" ht="12" x14ac:dyDescent="0.2">
      <c r="A18" s="620" t="s">
        <v>142</v>
      </c>
      <c r="B18" s="353">
        <f>B16*B14</f>
        <v>2.5</v>
      </c>
      <c r="C18" s="363"/>
      <c r="D18" s="343"/>
      <c r="E18" s="343"/>
      <c r="F18" s="343"/>
      <c r="G18" s="344"/>
      <c r="H18" s="344"/>
      <c r="I18" s="344"/>
      <c r="J18" s="344"/>
      <c r="K18" s="344"/>
      <c r="L18" s="344"/>
      <c r="M18" s="344"/>
      <c r="N18" s="344"/>
      <c r="O18" s="344"/>
      <c r="P18" s="345"/>
      <c r="Q18" s="345"/>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row>
    <row r="19" spans="1:47" ht="12.75" x14ac:dyDescent="0.2">
      <c r="A19" s="154" t="s">
        <v>143</v>
      </c>
      <c r="B19" s="45"/>
      <c r="C19" s="364"/>
      <c r="D19" s="343"/>
      <c r="E19" s="343"/>
      <c r="F19" s="343"/>
      <c r="G19" s="344"/>
      <c r="H19" s="344"/>
      <c r="I19" s="344"/>
      <c r="J19" s="344"/>
      <c r="K19" s="344"/>
      <c r="L19" s="344"/>
      <c r="M19" s="344"/>
      <c r="N19" s="344"/>
      <c r="O19" s="344"/>
      <c r="P19" s="345"/>
      <c r="Q19" s="345"/>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row>
    <row r="20" spans="1:47" s="351" customFormat="1" ht="12" x14ac:dyDescent="0.2">
      <c r="A20" s="421" t="s">
        <v>144</v>
      </c>
      <c r="B20" s="716">
        <v>2.5</v>
      </c>
      <c r="C20" s="428"/>
      <c r="D20" s="348"/>
      <c r="E20" s="348"/>
      <c r="F20" s="348"/>
      <c r="G20" s="349"/>
      <c r="H20" s="349"/>
      <c r="I20" s="349"/>
      <c r="J20" s="349"/>
      <c r="K20" s="349"/>
      <c r="L20" s="349"/>
      <c r="M20" s="349"/>
      <c r="N20" s="349"/>
      <c r="O20" s="349"/>
      <c r="P20" s="350"/>
      <c r="Q20" s="350"/>
    </row>
    <row r="21" spans="1:47" ht="12" x14ac:dyDescent="0.2">
      <c r="A21" s="421" t="s">
        <v>145</v>
      </c>
      <c r="B21" s="716">
        <v>2.5</v>
      </c>
      <c r="C21" s="365"/>
      <c r="D21" s="343"/>
      <c r="E21" s="343"/>
      <c r="F21" s="343"/>
      <c r="G21" s="344"/>
      <c r="H21" s="344"/>
      <c r="I21" s="344"/>
      <c r="J21" s="344"/>
      <c r="K21" s="344"/>
      <c r="L21" s="344"/>
      <c r="M21" s="344"/>
      <c r="N21" s="344"/>
      <c r="O21" s="344"/>
      <c r="P21" s="345"/>
      <c r="Q21" s="345"/>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row>
    <row r="22" spans="1:47" ht="12" x14ac:dyDescent="0.2">
      <c r="A22" s="421" t="s">
        <v>146</v>
      </c>
      <c r="B22" s="716">
        <v>2.5</v>
      </c>
      <c r="C22" s="365"/>
      <c r="D22" s="343"/>
      <c r="E22" s="343"/>
      <c r="F22" s="343"/>
      <c r="G22" s="344"/>
      <c r="H22" s="344"/>
      <c r="I22" s="344"/>
      <c r="J22" s="344"/>
      <c r="K22" s="344"/>
      <c r="L22" s="344"/>
      <c r="M22" s="344"/>
      <c r="N22" s="344"/>
      <c r="O22" s="344"/>
      <c r="P22" s="345"/>
      <c r="Q22" s="345"/>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row>
    <row r="23" spans="1:47" s="351" customFormat="1" ht="12" x14ac:dyDescent="0.2">
      <c r="A23" s="421" t="s">
        <v>147</v>
      </c>
      <c r="B23" s="716">
        <v>2.5</v>
      </c>
      <c r="C23" s="365"/>
      <c r="D23" s="348"/>
      <c r="E23" s="348"/>
      <c r="F23" s="348"/>
      <c r="G23" s="349"/>
      <c r="H23" s="349"/>
      <c r="I23" s="349"/>
      <c r="J23" s="349"/>
      <c r="K23" s="349"/>
      <c r="L23" s="349"/>
      <c r="M23" s="349"/>
      <c r="N23" s="349"/>
      <c r="O23" s="349"/>
      <c r="P23" s="350"/>
      <c r="Q23" s="350"/>
    </row>
    <row r="24" spans="1:47" ht="12" x14ac:dyDescent="0.2">
      <c r="A24" s="421" t="s">
        <v>148</v>
      </c>
      <c r="B24" s="716">
        <v>2.5</v>
      </c>
      <c r="C24" s="364"/>
      <c r="D24" s="343"/>
      <c r="E24" s="343"/>
      <c r="F24" s="343"/>
      <c r="G24" s="344"/>
      <c r="H24" s="344"/>
      <c r="I24" s="344"/>
      <c r="J24" s="344"/>
      <c r="K24" s="344"/>
      <c r="L24" s="344"/>
      <c r="M24" s="344"/>
      <c r="N24" s="344"/>
      <c r="O24" s="344"/>
      <c r="P24" s="345"/>
      <c r="Q24" s="345"/>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row>
    <row r="25" spans="1:47" ht="12" x14ac:dyDescent="0.2">
      <c r="A25" s="421" t="s">
        <v>149</v>
      </c>
      <c r="B25" s="716">
        <v>2.5</v>
      </c>
      <c r="C25" s="343"/>
      <c r="D25" s="343"/>
      <c r="E25" s="343"/>
      <c r="F25" s="343"/>
      <c r="G25" s="344"/>
      <c r="H25" s="344"/>
      <c r="I25" s="344"/>
      <c r="J25" s="344"/>
      <c r="K25" s="344"/>
      <c r="L25" s="344"/>
      <c r="M25" s="344"/>
      <c r="N25" s="344"/>
      <c r="O25" s="344"/>
      <c r="P25" s="345"/>
      <c r="Q25" s="345"/>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row>
    <row r="26" spans="1:47" ht="12" x14ac:dyDescent="0.2">
      <c r="A26" s="421" t="s">
        <v>150</v>
      </c>
      <c r="B26" s="716">
        <v>2.5</v>
      </c>
      <c r="C26" s="343"/>
      <c r="D26" s="343"/>
      <c r="E26" s="343"/>
      <c r="F26" s="343"/>
      <c r="G26" s="344"/>
      <c r="H26" s="344"/>
      <c r="I26" s="344"/>
      <c r="J26" s="344"/>
      <c r="K26" s="344"/>
      <c r="L26" s="344"/>
      <c r="M26" s="344"/>
      <c r="N26" s="344"/>
      <c r="O26" s="344"/>
      <c r="P26" s="345"/>
      <c r="Q26" s="345"/>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row>
    <row r="27" spans="1:47" ht="12" x14ac:dyDescent="0.2">
      <c r="A27" s="421" t="s">
        <v>151</v>
      </c>
      <c r="B27" s="716">
        <v>2.5</v>
      </c>
      <c r="C27" s="343"/>
      <c r="D27" s="343"/>
      <c r="E27" s="343"/>
      <c r="F27" s="343"/>
      <c r="G27" s="344"/>
      <c r="H27" s="344"/>
      <c r="I27" s="344"/>
      <c r="J27" s="344"/>
      <c r="K27" s="344"/>
      <c r="L27" s="344"/>
      <c r="M27" s="344"/>
      <c r="N27" s="344"/>
      <c r="O27" s="344"/>
      <c r="P27" s="345"/>
      <c r="Q27" s="345"/>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row>
    <row r="28" spans="1:47" ht="12" x14ac:dyDescent="0.2">
      <c r="A28" s="421" t="s">
        <v>152</v>
      </c>
      <c r="B28" s="716">
        <v>2.5</v>
      </c>
      <c r="C28" s="343"/>
      <c r="D28" s="343"/>
      <c r="E28" s="343"/>
      <c r="F28" s="343"/>
      <c r="G28" s="344"/>
      <c r="H28" s="344"/>
      <c r="I28" s="344"/>
      <c r="J28" s="344"/>
      <c r="K28" s="344"/>
      <c r="L28" s="344"/>
      <c r="M28" s="344"/>
      <c r="N28" s="344"/>
      <c r="O28" s="344"/>
      <c r="P28" s="345"/>
      <c r="Q28" s="345"/>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row>
    <row r="29" spans="1:47" ht="12.75" x14ac:dyDescent="0.2">
      <c r="A29" s="422" t="s">
        <v>153</v>
      </c>
      <c r="B29" s="716">
        <v>7.5</v>
      </c>
      <c r="C29" s="343"/>
      <c r="D29" s="343"/>
      <c r="E29" s="343"/>
      <c r="F29" s="343"/>
      <c r="G29" s="344"/>
      <c r="H29" s="344"/>
      <c r="I29" s="344"/>
      <c r="J29" s="344"/>
      <c r="K29" s="344"/>
      <c r="L29" s="344"/>
      <c r="M29" s="344"/>
      <c r="N29" s="344"/>
      <c r="O29" s="344"/>
      <c r="P29" s="345"/>
      <c r="Q29" s="345"/>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row>
    <row r="30" spans="1:47" s="432" customFormat="1" ht="12.75" x14ac:dyDescent="0.2">
      <c r="A30" s="155" t="s">
        <v>154</v>
      </c>
      <c r="B30" s="153"/>
    </row>
    <row r="31" spans="1:47" s="433" customFormat="1" ht="12" x14ac:dyDescent="0.2">
      <c r="A31" s="430" t="s">
        <v>155</v>
      </c>
      <c r="B31" s="429"/>
    </row>
    <row r="32" spans="1:47" s="434" customFormat="1" ht="12" x14ac:dyDescent="0.2">
      <c r="A32" s="431" t="s">
        <v>156</v>
      </c>
      <c r="B32" s="429"/>
    </row>
    <row r="33" spans="1:47" s="433" customFormat="1" ht="12" x14ac:dyDescent="0.2">
      <c r="A33" s="430" t="s">
        <v>157</v>
      </c>
      <c r="B33" s="429"/>
    </row>
    <row r="34" spans="1:47" s="434" customFormat="1" ht="12" x14ac:dyDescent="0.2">
      <c r="A34" s="431" t="s">
        <v>158</v>
      </c>
      <c r="B34" s="429"/>
    </row>
    <row r="35" spans="1:47" s="433" customFormat="1" ht="12" x14ac:dyDescent="0.2">
      <c r="A35" s="430" t="s">
        <v>159</v>
      </c>
      <c r="B35" s="429"/>
    </row>
    <row r="36" spans="1:47" s="434" customFormat="1" ht="12" x14ac:dyDescent="0.2">
      <c r="A36" s="431" t="s">
        <v>160</v>
      </c>
      <c r="B36" s="429"/>
    </row>
    <row r="37" spans="1:47" s="433" customFormat="1" ht="12" x14ac:dyDescent="0.2">
      <c r="A37" s="430" t="s">
        <v>161</v>
      </c>
      <c r="B37" s="429"/>
    </row>
    <row r="38" spans="1:47" s="434" customFormat="1" ht="12" x14ac:dyDescent="0.2">
      <c r="A38" s="431" t="s">
        <v>162</v>
      </c>
      <c r="B38" s="429"/>
    </row>
    <row r="39" spans="1:47" s="433" customFormat="1" ht="12" x14ac:dyDescent="0.2">
      <c r="A39" s="430" t="s">
        <v>163</v>
      </c>
      <c r="B39" s="429"/>
    </row>
    <row r="40" spans="1:47" s="434" customFormat="1" ht="12" x14ac:dyDescent="0.2">
      <c r="A40" s="431" t="s">
        <v>164</v>
      </c>
      <c r="B40" s="429"/>
    </row>
    <row r="41" spans="1:47" ht="12.75" x14ac:dyDescent="0.2">
      <c r="A41" s="155" t="s">
        <v>166</v>
      </c>
      <c r="B41" s="368"/>
      <c r="C41" s="343"/>
      <c r="D41" s="343"/>
      <c r="E41" s="343"/>
      <c r="F41" s="343"/>
      <c r="G41" s="344"/>
      <c r="H41" s="344"/>
      <c r="I41" s="344"/>
      <c r="J41" s="344"/>
      <c r="K41" s="344"/>
      <c r="L41" s="344"/>
      <c r="M41" s="344"/>
      <c r="N41" s="344"/>
      <c r="O41" s="344"/>
      <c r="P41" s="345"/>
      <c r="Q41" s="345"/>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row>
    <row r="42" spans="1:47" ht="12" x14ac:dyDescent="0.2">
      <c r="A42" s="205" t="s">
        <v>167</v>
      </c>
      <c r="B42" s="354">
        <v>0.8</v>
      </c>
      <c r="C42" s="343"/>
      <c r="D42" s="343"/>
      <c r="E42" s="343"/>
      <c r="F42" s="343"/>
      <c r="G42" s="344"/>
      <c r="H42" s="344"/>
      <c r="I42" s="344"/>
      <c r="J42" s="344"/>
      <c r="K42" s="344"/>
      <c r="L42" s="344"/>
      <c r="M42" s="344"/>
      <c r="N42" s="344"/>
      <c r="O42" s="344"/>
      <c r="P42" s="345"/>
      <c r="Q42" s="345"/>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row>
    <row r="43" spans="1:47" ht="12" x14ac:dyDescent="0.2">
      <c r="A43" s="205" t="s">
        <v>168</v>
      </c>
      <c r="B43" s="354">
        <v>0.8</v>
      </c>
      <c r="C43" s="343"/>
      <c r="D43" s="343"/>
      <c r="E43" s="343"/>
      <c r="F43" s="343"/>
      <c r="G43" s="344"/>
      <c r="H43" s="344"/>
      <c r="I43" s="344"/>
      <c r="J43" s="344"/>
      <c r="K43" s="344"/>
      <c r="L43" s="344"/>
      <c r="M43" s="344"/>
      <c r="N43" s="344"/>
      <c r="O43" s="344"/>
      <c r="P43" s="345"/>
      <c r="Q43" s="345"/>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row>
    <row r="44" spans="1:47" ht="12" x14ac:dyDescent="0.2">
      <c r="A44" s="205" t="s">
        <v>169</v>
      </c>
      <c r="B44" s="354">
        <v>0.75</v>
      </c>
    </row>
    <row r="45" spans="1:47" x14ac:dyDescent="0.2">
      <c r="A45" s="346"/>
      <c r="B45" s="346"/>
    </row>
    <row r="46" spans="1:47" x14ac:dyDescent="0.2">
      <c r="A46" s="346"/>
      <c r="B46" s="346"/>
    </row>
    <row r="47" spans="1:47" x14ac:dyDescent="0.2">
      <c r="A47" s="346"/>
      <c r="B47" s="346"/>
    </row>
    <row r="48" spans="1:47" x14ac:dyDescent="0.2">
      <c r="A48" s="346"/>
      <c r="B48" s="346"/>
    </row>
    <row r="49" spans="1:2" x14ac:dyDescent="0.2">
      <c r="A49" s="346"/>
      <c r="B49" s="346"/>
    </row>
    <row r="50" spans="1:2" x14ac:dyDescent="0.2">
      <c r="A50" s="346"/>
      <c r="B50" s="346"/>
    </row>
    <row r="51" spans="1:2" x14ac:dyDescent="0.2">
      <c r="A51" s="346"/>
      <c r="B51" s="346"/>
    </row>
    <row r="52" spans="1:2" x14ac:dyDescent="0.2">
      <c r="A52" s="346"/>
      <c r="B52" s="346"/>
    </row>
    <row r="53" spans="1:2" x14ac:dyDescent="0.2">
      <c r="A53" s="346"/>
      <c r="B53" s="346"/>
    </row>
  </sheetData>
  <mergeCells count="1">
    <mergeCell ref="M1:N1"/>
  </mergeCells>
  <hyperlinks>
    <hyperlink ref="H1" location="Inventory!A1" display="Inventory" xr:uid="{00000000-0004-0000-0C00-000000000000}"/>
  </hyperlinks>
  <pageMargins left="0.75" right="0.75" top="1" bottom="1" header="0.5" footer="0.5"/>
  <pageSetup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34"/>
  <sheetViews>
    <sheetView showGridLines="0" zoomScaleNormal="100" zoomScaleSheetLayoutView="100" workbookViewId="0">
      <selection activeCell="AD2" sqref="AD2"/>
    </sheetView>
  </sheetViews>
  <sheetFormatPr defaultRowHeight="11.25" x14ac:dyDescent="0.2"/>
  <cols>
    <col min="1" max="1" width="62.140625" style="329" customWidth="1"/>
    <col min="2" max="2" width="6.85546875" style="329" bestFit="1" customWidth="1"/>
    <col min="3" max="3" width="6.85546875" style="326" bestFit="1" customWidth="1"/>
    <col min="4" max="13" width="5.7109375" style="326" customWidth="1"/>
    <col min="14" max="28" width="5.7109375" style="329" customWidth="1"/>
    <col min="29" max="16384" width="9.140625" style="329"/>
  </cols>
  <sheetData>
    <row r="1" spans="1:30" s="320" customFormat="1" ht="18.75" x14ac:dyDescent="0.3">
      <c r="A1" s="800" t="s">
        <v>279</v>
      </c>
      <c r="B1" s="800"/>
      <c r="C1" s="800"/>
      <c r="D1" s="800"/>
      <c r="E1" s="678" t="s">
        <v>62</v>
      </c>
      <c r="G1" s="321" t="s">
        <v>3</v>
      </c>
      <c r="H1" s="799">
        <v>44835</v>
      </c>
      <c r="I1" s="799"/>
      <c r="L1" s="679"/>
      <c r="M1" s="679"/>
      <c r="AC1" s="680" t="s">
        <v>63</v>
      </c>
      <c r="AD1" s="681">
        <v>7.12</v>
      </c>
    </row>
    <row r="2" spans="1:30" s="325" customFormat="1" ht="12" x14ac:dyDescent="0.2">
      <c r="A2" s="682"/>
      <c r="B2" s="801" t="s">
        <v>280</v>
      </c>
      <c r="C2" s="801"/>
      <c r="D2" s="682"/>
      <c r="E2" s="683"/>
      <c r="G2" s="330"/>
      <c r="H2" s="684"/>
      <c r="I2" s="684"/>
      <c r="L2" s="720"/>
      <c r="M2" s="720"/>
      <c r="AA2" s="330"/>
      <c r="AB2" s="682"/>
    </row>
    <row r="3" spans="1:30" s="325" customFormat="1" ht="12" x14ac:dyDescent="0.2">
      <c r="A3" s="330" t="s">
        <v>281</v>
      </c>
      <c r="B3" s="685" t="s">
        <v>282</v>
      </c>
      <c r="C3" s="720" t="s">
        <v>282</v>
      </c>
      <c r="D3" s="720"/>
      <c r="E3" s="720"/>
      <c r="F3" s="720"/>
      <c r="G3" s="720"/>
      <c r="H3" s="720"/>
      <c r="I3" s="720"/>
      <c r="J3" s="720"/>
      <c r="K3" s="720"/>
      <c r="L3" s="720"/>
      <c r="M3" s="720"/>
    </row>
    <row r="4" spans="1:30" s="325" customFormat="1" ht="12" x14ac:dyDescent="0.2">
      <c r="A4" s="330" t="s">
        <v>283</v>
      </c>
      <c r="B4" s="685">
        <v>3</v>
      </c>
      <c r="C4" s="720"/>
      <c r="D4" s="720"/>
      <c r="E4" s="720"/>
      <c r="F4" s="720"/>
      <c r="G4" s="720"/>
      <c r="H4" s="720"/>
      <c r="I4" s="720"/>
      <c r="J4" s="720"/>
      <c r="K4" s="720"/>
      <c r="L4" s="720"/>
      <c r="M4" s="720"/>
    </row>
    <row r="5" spans="1:30" s="325" customFormat="1" ht="12" x14ac:dyDescent="0.2">
      <c r="A5" s="330" t="s">
        <v>284</v>
      </c>
      <c r="B5" s="685">
        <v>3</v>
      </c>
      <c r="C5" s="720"/>
      <c r="D5" s="720"/>
      <c r="E5" s="720"/>
      <c r="F5" s="720"/>
      <c r="G5" s="720"/>
      <c r="H5" s="720"/>
      <c r="I5" s="720"/>
      <c r="J5" s="720"/>
      <c r="K5" s="720"/>
      <c r="L5" s="720"/>
      <c r="M5" s="720"/>
    </row>
    <row r="6" spans="1:30" s="325" customFormat="1" ht="12" x14ac:dyDescent="0.2">
      <c r="A6" s="330" t="s">
        <v>285</v>
      </c>
      <c r="B6" s="685">
        <v>3</v>
      </c>
      <c r="D6" s="720"/>
      <c r="E6" s="720"/>
      <c r="G6" s="720"/>
      <c r="H6" s="720"/>
      <c r="I6" s="720"/>
      <c r="J6" s="720"/>
      <c r="K6" s="720"/>
      <c r="L6" s="720"/>
      <c r="M6" s="720"/>
    </row>
    <row r="7" spans="1:30" s="325" customFormat="1" ht="12" x14ac:dyDescent="0.2">
      <c r="A7" s="330" t="s">
        <v>286</v>
      </c>
      <c r="B7" s="686"/>
      <c r="C7" s="720">
        <v>2</v>
      </c>
      <c r="D7" s="720"/>
      <c r="E7" s="720"/>
      <c r="G7" s="720"/>
      <c r="H7" s="720"/>
      <c r="I7" s="720"/>
      <c r="J7" s="720"/>
      <c r="K7" s="720"/>
      <c r="L7" s="720"/>
      <c r="M7" s="720"/>
    </row>
    <row r="8" spans="1:30" s="325" customFormat="1" ht="12" x14ac:dyDescent="0.2">
      <c r="A8" s="330" t="s">
        <v>287</v>
      </c>
      <c r="B8" s="686"/>
      <c r="C8" s="720">
        <v>2</v>
      </c>
      <c r="D8" s="720"/>
      <c r="E8" s="720"/>
      <c r="G8" s="720"/>
      <c r="H8" s="720"/>
      <c r="I8" s="720"/>
      <c r="J8" s="720"/>
      <c r="K8" s="720"/>
      <c r="L8" s="720"/>
      <c r="M8" s="720"/>
    </row>
    <row r="9" spans="1:30" s="325" customFormat="1" ht="12" x14ac:dyDescent="0.2">
      <c r="A9" s="330" t="s">
        <v>288</v>
      </c>
      <c r="B9" s="686"/>
      <c r="C9" s="720">
        <v>4</v>
      </c>
      <c r="D9" s="720"/>
      <c r="E9" s="720"/>
      <c r="G9" s="720"/>
      <c r="H9" s="720"/>
      <c r="I9" s="720"/>
      <c r="J9" s="720"/>
      <c r="K9" s="720"/>
      <c r="L9" s="720"/>
      <c r="M9" s="720"/>
    </row>
    <row r="10" spans="1:30" s="325" customFormat="1" ht="12" x14ac:dyDescent="0.2">
      <c r="A10" s="330" t="s">
        <v>289</v>
      </c>
      <c r="B10" s="686"/>
      <c r="C10" s="720">
        <v>2</v>
      </c>
      <c r="D10" s="720"/>
      <c r="E10" s="720"/>
      <c r="G10" s="720"/>
      <c r="H10" s="720"/>
      <c r="I10" s="720"/>
      <c r="J10" s="720"/>
      <c r="K10" s="720"/>
      <c r="L10" s="720"/>
      <c r="M10" s="720"/>
    </row>
    <row r="11" spans="1:30" s="325" customFormat="1" ht="12" x14ac:dyDescent="0.2">
      <c r="A11" s="330"/>
      <c r="B11" s="686"/>
      <c r="C11" s="720"/>
      <c r="D11" s="720"/>
      <c r="E11" s="720"/>
      <c r="G11" s="720"/>
      <c r="H11" s="720"/>
      <c r="I11" s="720"/>
      <c r="J11" s="720"/>
      <c r="K11" s="720"/>
      <c r="L11" s="720"/>
      <c r="M11" s="720"/>
    </row>
    <row r="12" spans="1:30" ht="56.25" customHeight="1" x14ac:dyDescent="0.2">
      <c r="A12" s="516" t="s">
        <v>77</v>
      </c>
      <c r="B12" s="142" t="s">
        <v>290</v>
      </c>
      <c r="C12" s="142" t="s">
        <v>291</v>
      </c>
      <c r="D12" s="329"/>
      <c r="F12" s="329"/>
    </row>
    <row r="13" spans="1:30" ht="12" x14ac:dyDescent="0.2">
      <c r="A13" s="516" t="s">
        <v>85</v>
      </c>
      <c r="B13" s="334" t="s">
        <v>292</v>
      </c>
      <c r="C13" s="334" t="s">
        <v>293</v>
      </c>
      <c r="D13" s="329"/>
    </row>
    <row r="14" spans="1:30" s="335" customFormat="1" ht="12" x14ac:dyDescent="0.2">
      <c r="A14" s="516" t="s">
        <v>114</v>
      </c>
      <c r="B14" s="143">
        <v>1</v>
      </c>
      <c r="C14" s="143">
        <v>2</v>
      </c>
      <c r="E14" s="326"/>
      <c r="F14" s="326"/>
      <c r="G14" s="326"/>
      <c r="H14" s="326"/>
      <c r="I14" s="326"/>
      <c r="J14" s="326"/>
      <c r="K14" s="326"/>
      <c r="L14" s="326"/>
      <c r="M14" s="326"/>
    </row>
    <row r="15" spans="1:30" s="335" customFormat="1" ht="12" x14ac:dyDescent="0.2">
      <c r="A15" s="516" t="s">
        <v>115</v>
      </c>
      <c r="B15" s="694" t="s">
        <v>294</v>
      </c>
      <c r="C15" s="143" t="s">
        <v>295</v>
      </c>
      <c r="E15" s="326"/>
      <c r="F15" s="326"/>
      <c r="G15" s="326"/>
      <c r="H15" s="326"/>
      <c r="I15" s="326"/>
      <c r="J15" s="326"/>
      <c r="K15" s="326"/>
      <c r="L15" s="326"/>
      <c r="M15" s="326"/>
    </row>
    <row r="16" spans="1:30" s="335" customFormat="1" ht="12.75" x14ac:dyDescent="0.2">
      <c r="A16" s="687" t="s">
        <v>136</v>
      </c>
      <c r="B16" s="143"/>
      <c r="C16" s="143"/>
      <c r="E16" s="326"/>
      <c r="F16" s="326"/>
      <c r="G16" s="326"/>
      <c r="H16" s="326"/>
      <c r="I16" s="326"/>
      <c r="J16" s="326"/>
      <c r="K16" s="326"/>
      <c r="L16" s="326"/>
      <c r="M16" s="326"/>
    </row>
    <row r="17" spans="1:13" s="335" customFormat="1" ht="12" x14ac:dyDescent="0.2">
      <c r="A17" s="516" t="s">
        <v>137</v>
      </c>
      <c r="B17" s="71">
        <v>1</v>
      </c>
      <c r="C17" s="71">
        <v>1</v>
      </c>
      <c r="E17" s="326"/>
      <c r="F17" s="326"/>
      <c r="G17" s="326"/>
      <c r="H17" s="326"/>
      <c r="I17" s="326"/>
      <c r="J17" s="326"/>
      <c r="K17" s="326"/>
      <c r="L17" s="326"/>
      <c r="M17" s="326"/>
    </row>
    <row r="18" spans="1:13" s="335" customFormat="1" ht="12" x14ac:dyDescent="0.2">
      <c r="A18" s="516" t="s">
        <v>138</v>
      </c>
      <c r="B18" s="71">
        <v>0.75</v>
      </c>
      <c r="C18" s="71">
        <v>0.75</v>
      </c>
      <c r="E18" s="326"/>
      <c r="F18" s="326"/>
      <c r="G18" s="326"/>
      <c r="H18" s="326"/>
      <c r="I18" s="326"/>
      <c r="J18" s="326"/>
      <c r="K18" s="326"/>
      <c r="L18" s="326"/>
      <c r="M18" s="326"/>
    </row>
    <row r="19" spans="1:13" s="335" customFormat="1" ht="12" x14ac:dyDescent="0.2">
      <c r="A19" s="688" t="s">
        <v>139</v>
      </c>
      <c r="B19" s="71">
        <v>0.25</v>
      </c>
      <c r="C19" s="71">
        <v>0.25</v>
      </c>
      <c r="E19" s="326"/>
      <c r="F19" s="326"/>
      <c r="G19" s="326"/>
      <c r="H19" s="326"/>
      <c r="I19" s="326"/>
      <c r="J19" s="326"/>
      <c r="K19" s="326"/>
      <c r="L19" s="326"/>
      <c r="M19" s="326"/>
    </row>
    <row r="20" spans="1:13" ht="12.75" x14ac:dyDescent="0.2">
      <c r="A20" s="687" t="s">
        <v>296</v>
      </c>
      <c r="B20" s="342" t="s">
        <v>282</v>
      </c>
      <c r="C20" s="342" t="s">
        <v>282</v>
      </c>
      <c r="D20" s="329"/>
    </row>
    <row r="21" spans="1:13" s="536" customFormat="1" ht="12" x14ac:dyDescent="0.2">
      <c r="A21" s="513" t="s">
        <v>140</v>
      </c>
      <c r="B21" s="689">
        <f>SUM(B4:B10)*B17</f>
        <v>9</v>
      </c>
      <c r="C21" s="689">
        <f>SUM(C4:C10)*C17</f>
        <v>10</v>
      </c>
      <c r="D21" s="690"/>
      <c r="E21" s="690"/>
      <c r="F21" s="690"/>
      <c r="G21" s="690"/>
      <c r="H21" s="690"/>
      <c r="I21" s="690"/>
      <c r="J21" s="690"/>
      <c r="K21" s="690"/>
      <c r="L21" s="690"/>
      <c r="M21" s="690"/>
    </row>
    <row r="22" spans="1:13" ht="12" x14ac:dyDescent="0.2">
      <c r="A22" s="513" t="s">
        <v>141</v>
      </c>
      <c r="B22" s="689">
        <f>B21*B18</f>
        <v>6.75</v>
      </c>
      <c r="C22" s="689">
        <f>C21*C18</f>
        <v>7.5</v>
      </c>
    </row>
    <row r="23" spans="1:13" ht="12" x14ac:dyDescent="0.2">
      <c r="A23" s="634" t="s">
        <v>142</v>
      </c>
      <c r="B23" s="691">
        <f>B21*B19</f>
        <v>2.25</v>
      </c>
      <c r="C23" s="691">
        <f>C21*C19</f>
        <v>2.5</v>
      </c>
    </row>
    <row r="24" spans="1:13" ht="12" x14ac:dyDescent="0.2">
      <c r="A24" s="692" t="s">
        <v>143</v>
      </c>
      <c r="B24" s="342"/>
      <c r="C24" s="342"/>
    </row>
    <row r="25" spans="1:13" ht="12" x14ac:dyDescent="0.2">
      <c r="A25" s="421" t="s">
        <v>144</v>
      </c>
      <c r="B25" s="693" t="s">
        <v>193</v>
      </c>
      <c r="C25" s="693" t="s">
        <v>193</v>
      </c>
    </row>
    <row r="26" spans="1:13" ht="12" x14ac:dyDescent="0.2">
      <c r="A26" s="421" t="s">
        <v>145</v>
      </c>
      <c r="B26" s="342" t="s">
        <v>193</v>
      </c>
      <c r="C26" s="342" t="s">
        <v>193</v>
      </c>
    </row>
    <row r="27" spans="1:13" ht="12" x14ac:dyDescent="0.2">
      <c r="A27" s="421" t="s">
        <v>146</v>
      </c>
      <c r="B27" s="342" t="s">
        <v>193</v>
      </c>
      <c r="C27" s="342" t="s">
        <v>193</v>
      </c>
    </row>
    <row r="28" spans="1:13" ht="12" x14ac:dyDescent="0.2">
      <c r="A28" s="421" t="s">
        <v>147</v>
      </c>
      <c r="B28" s="342" t="s">
        <v>193</v>
      </c>
      <c r="C28" s="342" t="s">
        <v>193</v>
      </c>
    </row>
    <row r="29" spans="1:13" ht="12" x14ac:dyDescent="0.2">
      <c r="A29" s="421" t="s">
        <v>148</v>
      </c>
      <c r="B29" s="342" t="s">
        <v>193</v>
      </c>
      <c r="C29" s="342" t="s">
        <v>193</v>
      </c>
    </row>
    <row r="30" spans="1:13" ht="12" x14ac:dyDescent="0.2">
      <c r="A30" s="421" t="s">
        <v>149</v>
      </c>
      <c r="B30" s="342" t="s">
        <v>193</v>
      </c>
      <c r="C30" s="342" t="s">
        <v>193</v>
      </c>
    </row>
    <row r="31" spans="1:13" ht="12" x14ac:dyDescent="0.2">
      <c r="A31" s="421" t="s">
        <v>150</v>
      </c>
      <c r="B31" s="342" t="s">
        <v>193</v>
      </c>
      <c r="C31" s="342" t="s">
        <v>193</v>
      </c>
    </row>
    <row r="32" spans="1:13" ht="12" x14ac:dyDescent="0.2">
      <c r="A32" s="421" t="s">
        <v>151</v>
      </c>
      <c r="B32" s="342" t="s">
        <v>193</v>
      </c>
      <c r="C32" s="342" t="s">
        <v>193</v>
      </c>
    </row>
    <row r="33" spans="1:3" ht="12" x14ac:dyDescent="0.2">
      <c r="A33" s="421" t="s">
        <v>152</v>
      </c>
      <c r="B33" s="342" t="s">
        <v>193</v>
      </c>
      <c r="C33" s="342" t="s">
        <v>193</v>
      </c>
    </row>
    <row r="34" spans="1:3" ht="12.75" x14ac:dyDescent="0.2">
      <c r="A34" s="422" t="s">
        <v>153</v>
      </c>
      <c r="B34" s="342" t="s">
        <v>193</v>
      </c>
      <c r="C34" s="342" t="s">
        <v>193</v>
      </c>
    </row>
  </sheetData>
  <mergeCells count="3">
    <mergeCell ref="A1:D1"/>
    <mergeCell ref="H1:I1"/>
    <mergeCell ref="B2:C2"/>
  </mergeCells>
  <hyperlinks>
    <hyperlink ref="E1" location="Inventory!A1" display="Inventory" xr:uid="{00000000-0004-0000-0D00-000000000000}"/>
  </hyperlinks>
  <pageMargins left="0.75" right="0.75" top="1" bottom="1" header="0.5" footer="0.5"/>
  <pageSetup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102"/>
  <sheetViews>
    <sheetView showGridLines="0" zoomScale="80" zoomScaleNormal="80" workbookViewId="0">
      <selection activeCell="C1" sqref="C1"/>
    </sheetView>
  </sheetViews>
  <sheetFormatPr defaultRowHeight="12.75" x14ac:dyDescent="0.2"/>
  <cols>
    <col min="1" max="1" width="9.140625" style="537"/>
    <col min="2" max="2" width="17.140625" style="537" bestFit="1" customWidth="1"/>
    <col min="3" max="3" width="50.7109375" style="578" customWidth="1"/>
    <col min="4" max="4" width="5.7109375" style="537" customWidth="1"/>
    <col min="5" max="5" width="5.7109375" style="574" customWidth="1"/>
    <col min="6" max="7" width="5.7109375" style="576" customWidth="1"/>
    <col min="8" max="19" width="5.7109375" style="537" customWidth="1"/>
    <col min="20" max="20" width="5.7109375" style="574" customWidth="1"/>
    <col min="21" max="25" width="5.7109375" style="537" customWidth="1"/>
    <col min="26" max="26" width="15.7109375" style="537" customWidth="1"/>
    <col min="27" max="30" width="3.5703125" style="537" bestFit="1" customWidth="1"/>
    <col min="31" max="16384" width="9.140625" style="537"/>
  </cols>
  <sheetData>
    <row r="1" spans="1:31" s="478" customFormat="1" ht="18.75" x14ac:dyDescent="0.25">
      <c r="A1" s="571" t="s">
        <v>3</v>
      </c>
      <c r="B1" s="572">
        <v>43435</v>
      </c>
      <c r="C1" s="409" t="s">
        <v>62</v>
      </c>
      <c r="D1" s="805" t="s">
        <v>297</v>
      </c>
      <c r="E1" s="805"/>
      <c r="F1" s="805"/>
      <c r="G1" s="805"/>
      <c r="H1" s="805"/>
      <c r="I1" s="805"/>
      <c r="J1" s="805"/>
      <c r="K1" s="805"/>
      <c r="L1" s="805"/>
      <c r="M1" s="805"/>
      <c r="N1" s="805"/>
      <c r="O1" s="805"/>
      <c r="P1" s="805"/>
      <c r="Q1" s="805"/>
      <c r="R1" s="805"/>
      <c r="S1" s="805"/>
      <c r="T1" s="805"/>
      <c r="U1" s="805"/>
      <c r="V1" s="805"/>
      <c r="W1" s="805"/>
      <c r="X1" s="805"/>
      <c r="Y1" s="805"/>
      <c r="Z1" s="573"/>
      <c r="AA1" s="573"/>
      <c r="AB1" s="573"/>
      <c r="AC1" s="573"/>
      <c r="AD1" s="573"/>
      <c r="AE1" s="573"/>
    </row>
    <row r="2" spans="1:31" ht="393" customHeight="1" thickBot="1" x14ac:dyDescent="0.25">
      <c r="A2" s="698"/>
      <c r="B2" s="699"/>
      <c r="C2" s="700" t="s">
        <v>298</v>
      </c>
      <c r="D2" s="701" t="s">
        <v>225</v>
      </c>
      <c r="E2" s="702" t="s">
        <v>226</v>
      </c>
      <c r="F2" s="701" t="s">
        <v>144</v>
      </c>
      <c r="G2" s="702" t="s">
        <v>145</v>
      </c>
      <c r="H2" s="701" t="s">
        <v>146</v>
      </c>
      <c r="I2" s="702" t="s">
        <v>147</v>
      </c>
      <c r="J2" s="701" t="s">
        <v>148</v>
      </c>
      <c r="K2" s="702" t="s">
        <v>149</v>
      </c>
      <c r="L2" s="701" t="s">
        <v>150</v>
      </c>
      <c r="M2" s="702" t="s">
        <v>151</v>
      </c>
      <c r="N2" s="701" t="s">
        <v>152</v>
      </c>
      <c r="O2" s="702" t="s">
        <v>153</v>
      </c>
      <c r="P2" s="701" t="s">
        <v>155</v>
      </c>
      <c r="Q2" s="702" t="s">
        <v>156</v>
      </c>
      <c r="R2" s="701" t="s">
        <v>157</v>
      </c>
      <c r="S2" s="702" t="s">
        <v>158</v>
      </c>
      <c r="T2" s="701" t="s">
        <v>159</v>
      </c>
      <c r="U2" s="702" t="s">
        <v>160</v>
      </c>
      <c r="V2" s="701" t="s">
        <v>161</v>
      </c>
      <c r="W2" s="702" t="s">
        <v>162</v>
      </c>
      <c r="X2" s="701" t="s">
        <v>163</v>
      </c>
      <c r="Y2" s="702" t="s">
        <v>164</v>
      </c>
      <c r="Z2" s="574"/>
      <c r="AA2" s="574"/>
      <c r="AB2" s="574"/>
      <c r="AC2" s="574"/>
    </row>
    <row r="3" spans="1:31" ht="17.25" customHeight="1" x14ac:dyDescent="0.2">
      <c r="A3" s="802" t="s">
        <v>299</v>
      </c>
      <c r="B3" s="703" t="s">
        <v>300</v>
      </c>
      <c r="C3" s="704" t="s">
        <v>301</v>
      </c>
      <c r="D3" s="705" t="s">
        <v>216</v>
      </c>
      <c r="E3" s="705" t="s">
        <v>216</v>
      </c>
      <c r="F3" s="705"/>
      <c r="G3" s="705"/>
      <c r="H3" s="705"/>
      <c r="I3" s="705"/>
      <c r="J3" s="705"/>
      <c r="K3" s="705"/>
      <c r="L3" s="705"/>
      <c r="M3" s="705"/>
      <c r="N3" s="705" t="s">
        <v>216</v>
      </c>
      <c r="O3" s="705" t="s">
        <v>216</v>
      </c>
      <c r="P3" s="705"/>
      <c r="Q3" s="705"/>
      <c r="R3" s="705"/>
      <c r="S3" s="705"/>
      <c r="T3" s="705"/>
      <c r="U3" s="705"/>
      <c r="V3" s="705"/>
      <c r="W3" s="705"/>
      <c r="X3" s="705"/>
      <c r="Y3" s="705"/>
    </row>
    <row r="4" spans="1:31" ht="17.25" customHeight="1" x14ac:dyDescent="0.2">
      <c r="A4" s="803"/>
      <c r="B4" s="707" t="s">
        <v>302</v>
      </c>
      <c r="C4" s="708" t="s">
        <v>303</v>
      </c>
      <c r="D4" s="709" t="s">
        <v>216</v>
      </c>
      <c r="E4" s="709" t="s">
        <v>216</v>
      </c>
      <c r="F4" s="709" t="s">
        <v>216</v>
      </c>
      <c r="G4" s="709"/>
      <c r="H4" s="709" t="s">
        <v>216</v>
      </c>
      <c r="I4" s="709" t="s">
        <v>216</v>
      </c>
      <c r="J4" s="709" t="s">
        <v>216</v>
      </c>
      <c r="K4" s="709" t="s">
        <v>216</v>
      </c>
      <c r="L4" s="709"/>
      <c r="M4" s="709" t="s">
        <v>216</v>
      </c>
      <c r="N4" s="709"/>
      <c r="O4" s="709" t="s">
        <v>216</v>
      </c>
      <c r="P4" s="709" t="s">
        <v>216</v>
      </c>
      <c r="Q4" s="709" t="s">
        <v>216</v>
      </c>
      <c r="R4" s="709" t="s">
        <v>216</v>
      </c>
      <c r="S4" s="709" t="s">
        <v>216</v>
      </c>
      <c r="T4" s="709" t="s">
        <v>216</v>
      </c>
      <c r="U4" s="709" t="s">
        <v>216</v>
      </c>
      <c r="V4" s="709" t="s">
        <v>216</v>
      </c>
      <c r="W4" s="709" t="s">
        <v>216</v>
      </c>
      <c r="X4" s="709"/>
      <c r="Y4" s="709"/>
    </row>
    <row r="5" spans="1:31" ht="17.25" customHeight="1" x14ac:dyDescent="0.2">
      <c r="A5" s="803"/>
      <c r="B5" s="707" t="s">
        <v>304</v>
      </c>
      <c r="C5" s="708" t="s">
        <v>305</v>
      </c>
      <c r="D5" s="709" t="s">
        <v>216</v>
      </c>
      <c r="E5" s="709" t="s">
        <v>216</v>
      </c>
      <c r="F5" s="709" t="s">
        <v>216</v>
      </c>
      <c r="G5" s="709"/>
      <c r="H5" s="709" t="s">
        <v>216</v>
      </c>
      <c r="I5" s="709" t="s">
        <v>216</v>
      </c>
      <c r="J5" s="709"/>
      <c r="K5" s="709"/>
      <c r="L5" s="709"/>
      <c r="M5" s="709"/>
      <c r="N5" s="709"/>
      <c r="O5" s="709" t="s">
        <v>216</v>
      </c>
      <c r="P5" s="709"/>
      <c r="Q5" s="709"/>
      <c r="R5" s="709"/>
      <c r="S5" s="709"/>
      <c r="T5" s="709"/>
      <c r="U5" s="709"/>
      <c r="V5" s="709" t="s">
        <v>216</v>
      </c>
      <c r="W5" s="709" t="s">
        <v>216</v>
      </c>
      <c r="X5" s="709"/>
      <c r="Y5" s="709"/>
    </row>
    <row r="6" spans="1:31" ht="17.25" customHeight="1" x14ac:dyDescent="0.2">
      <c r="A6" s="803"/>
      <c r="B6" s="707" t="s">
        <v>306</v>
      </c>
      <c r="C6" s="708" t="s">
        <v>307</v>
      </c>
      <c r="D6" s="709" t="s">
        <v>216</v>
      </c>
      <c r="E6" s="709" t="s">
        <v>216</v>
      </c>
      <c r="F6" s="709" t="s">
        <v>216</v>
      </c>
      <c r="G6" s="709"/>
      <c r="H6" s="709" t="s">
        <v>216</v>
      </c>
      <c r="I6" s="709" t="s">
        <v>216</v>
      </c>
      <c r="J6" s="709"/>
      <c r="K6" s="709"/>
      <c r="L6" s="709"/>
      <c r="M6" s="709"/>
      <c r="N6" s="709"/>
      <c r="O6" s="709" t="s">
        <v>216</v>
      </c>
      <c r="P6" s="709"/>
      <c r="Q6" s="709"/>
      <c r="R6" s="709"/>
      <c r="S6" s="709"/>
      <c r="T6" s="709"/>
      <c r="U6" s="709"/>
      <c r="V6" s="709" t="s">
        <v>216</v>
      </c>
      <c r="W6" s="709" t="s">
        <v>216</v>
      </c>
      <c r="X6" s="709"/>
      <c r="Y6" s="709"/>
    </row>
    <row r="7" spans="1:31" ht="17.25" customHeight="1" x14ac:dyDescent="0.2">
      <c r="A7" s="803"/>
      <c r="B7" s="707" t="s">
        <v>308</v>
      </c>
      <c r="C7" s="708" t="s">
        <v>309</v>
      </c>
      <c r="D7" s="709" t="s">
        <v>216</v>
      </c>
      <c r="E7" s="709" t="s">
        <v>216</v>
      </c>
      <c r="F7" s="709"/>
      <c r="G7" s="709"/>
      <c r="H7" s="709" t="s">
        <v>216</v>
      </c>
      <c r="I7" s="709" t="s">
        <v>216</v>
      </c>
      <c r="J7" s="709"/>
      <c r="K7" s="709"/>
      <c r="L7" s="709"/>
      <c r="M7" s="709" t="s">
        <v>216</v>
      </c>
      <c r="N7" s="709"/>
      <c r="O7" s="709" t="s">
        <v>216</v>
      </c>
      <c r="P7" s="709" t="s">
        <v>216</v>
      </c>
      <c r="Q7" s="709" t="s">
        <v>216</v>
      </c>
      <c r="R7" s="709" t="s">
        <v>216</v>
      </c>
      <c r="S7" s="709" t="s">
        <v>216</v>
      </c>
      <c r="T7" s="709" t="s">
        <v>216</v>
      </c>
      <c r="U7" s="709" t="s">
        <v>216</v>
      </c>
      <c r="V7" s="709" t="s">
        <v>216</v>
      </c>
      <c r="W7" s="709" t="s">
        <v>216</v>
      </c>
      <c r="X7" s="709"/>
      <c r="Y7" s="709"/>
    </row>
    <row r="8" spans="1:31" ht="17.25" customHeight="1" x14ac:dyDescent="0.2">
      <c r="A8" s="803"/>
      <c r="B8" s="707" t="s">
        <v>310</v>
      </c>
      <c r="C8" s="708" t="s">
        <v>311</v>
      </c>
      <c r="D8" s="709" t="s">
        <v>216</v>
      </c>
      <c r="E8" s="709" t="s">
        <v>216</v>
      </c>
      <c r="F8" s="709"/>
      <c r="G8" s="709"/>
      <c r="H8" s="709" t="s">
        <v>216</v>
      </c>
      <c r="I8" s="709" t="s">
        <v>216</v>
      </c>
      <c r="J8" s="709"/>
      <c r="K8" s="709"/>
      <c r="L8" s="709"/>
      <c r="M8" s="709" t="s">
        <v>216</v>
      </c>
      <c r="N8" s="709"/>
      <c r="O8" s="709" t="s">
        <v>216</v>
      </c>
      <c r="P8" s="709" t="s">
        <v>216</v>
      </c>
      <c r="Q8" s="709" t="s">
        <v>216</v>
      </c>
      <c r="R8" s="709" t="s">
        <v>216</v>
      </c>
      <c r="S8" s="709" t="s">
        <v>216</v>
      </c>
      <c r="T8" s="709" t="s">
        <v>216</v>
      </c>
      <c r="U8" s="709" t="s">
        <v>216</v>
      </c>
      <c r="V8" s="709" t="s">
        <v>216</v>
      </c>
      <c r="W8" s="709" t="s">
        <v>216</v>
      </c>
      <c r="X8" s="709"/>
      <c r="Y8" s="709"/>
    </row>
    <row r="9" spans="1:31" ht="17.25" customHeight="1" x14ac:dyDescent="0.2">
      <c r="A9" s="803"/>
      <c r="B9" s="707" t="s">
        <v>312</v>
      </c>
      <c r="C9" s="708" t="s">
        <v>313</v>
      </c>
      <c r="D9" s="709" t="s">
        <v>216</v>
      </c>
      <c r="E9" s="709" t="s">
        <v>216</v>
      </c>
      <c r="F9" s="709" t="s">
        <v>216</v>
      </c>
      <c r="G9" s="709"/>
      <c r="H9" s="709"/>
      <c r="I9" s="709"/>
      <c r="J9" s="709"/>
      <c r="K9" s="709"/>
      <c r="L9" s="709"/>
      <c r="M9" s="709"/>
      <c r="N9" s="709"/>
      <c r="O9" s="709" t="s">
        <v>216</v>
      </c>
      <c r="P9" s="709"/>
      <c r="Q9" s="709"/>
      <c r="R9" s="709"/>
      <c r="S9" s="709"/>
      <c r="T9" s="709"/>
      <c r="U9" s="709"/>
      <c r="V9" s="709"/>
      <c r="W9" s="709"/>
      <c r="X9" s="709"/>
      <c r="Y9" s="709"/>
    </row>
    <row r="10" spans="1:31" ht="17.25" customHeight="1" x14ac:dyDescent="0.2">
      <c r="A10" s="803"/>
      <c r="B10" s="707" t="s">
        <v>314</v>
      </c>
      <c r="C10" s="708" t="s">
        <v>315</v>
      </c>
      <c r="D10" s="709" t="s">
        <v>216</v>
      </c>
      <c r="E10" s="709" t="s">
        <v>216</v>
      </c>
      <c r="F10" s="709"/>
      <c r="G10" s="709"/>
      <c r="H10" s="709"/>
      <c r="I10" s="709"/>
      <c r="J10" s="709" t="s">
        <v>216</v>
      </c>
      <c r="K10" s="709" t="s">
        <v>216</v>
      </c>
      <c r="L10" s="709"/>
      <c r="M10" s="709"/>
      <c r="N10" s="709"/>
      <c r="O10" s="709" t="s">
        <v>216</v>
      </c>
      <c r="P10" s="709"/>
      <c r="Q10" s="709"/>
      <c r="R10" s="709"/>
      <c r="S10" s="709"/>
      <c r="T10" s="709"/>
      <c r="U10" s="709"/>
      <c r="V10" s="709"/>
      <c r="W10" s="709"/>
      <c r="X10" s="709"/>
      <c r="Y10" s="709"/>
    </row>
    <row r="11" spans="1:31" ht="17.25" customHeight="1" x14ac:dyDescent="0.2">
      <c r="A11" s="803"/>
      <c r="B11" s="707" t="s">
        <v>316</v>
      </c>
      <c r="C11" s="708" t="s">
        <v>317</v>
      </c>
      <c r="D11" s="709" t="s">
        <v>216</v>
      </c>
      <c r="E11" s="709" t="s">
        <v>216</v>
      </c>
      <c r="F11" s="709"/>
      <c r="G11" s="709"/>
      <c r="H11" s="709"/>
      <c r="I11" s="709"/>
      <c r="J11" s="709" t="s">
        <v>216</v>
      </c>
      <c r="K11" s="709" t="s">
        <v>216</v>
      </c>
      <c r="L11" s="709"/>
      <c r="M11" s="709"/>
      <c r="N11" s="709"/>
      <c r="O11" s="709" t="s">
        <v>216</v>
      </c>
      <c r="P11" s="709"/>
      <c r="Q11" s="709"/>
      <c r="R11" s="709"/>
      <c r="S11" s="709"/>
      <c r="T11" s="709"/>
      <c r="U11" s="709"/>
      <c r="V11" s="709"/>
      <c r="W11" s="709"/>
      <c r="X11" s="709"/>
      <c r="Y11" s="709"/>
    </row>
    <row r="12" spans="1:31" ht="17.25" customHeight="1" thickBot="1" x14ac:dyDescent="0.25">
      <c r="A12" s="804"/>
      <c r="B12" s="711" t="s">
        <v>318</v>
      </c>
      <c r="C12" s="712" t="s">
        <v>319</v>
      </c>
      <c r="D12" s="713" t="s">
        <v>216</v>
      </c>
      <c r="E12" s="713" t="s">
        <v>216</v>
      </c>
      <c r="F12" s="713"/>
      <c r="G12" s="713"/>
      <c r="H12" s="713" t="s">
        <v>216</v>
      </c>
      <c r="I12" s="713" t="s">
        <v>216</v>
      </c>
      <c r="J12" s="713"/>
      <c r="K12" s="713"/>
      <c r="L12" s="713"/>
      <c r="M12" s="713"/>
      <c r="N12" s="713"/>
      <c r="O12" s="713" t="s">
        <v>216</v>
      </c>
      <c r="P12" s="713"/>
      <c r="Q12" s="713"/>
      <c r="R12" s="713"/>
      <c r="S12" s="713"/>
      <c r="T12" s="713" t="s">
        <v>216</v>
      </c>
      <c r="U12" s="713" t="s">
        <v>216</v>
      </c>
      <c r="V12" s="713" t="s">
        <v>216</v>
      </c>
      <c r="W12" s="713" t="s">
        <v>216</v>
      </c>
      <c r="X12" s="713"/>
      <c r="Y12" s="713"/>
    </row>
    <row r="13" spans="1:31" ht="15" x14ac:dyDescent="0.25">
      <c r="C13" s="478"/>
      <c r="E13" s="540"/>
      <c r="F13" s="537"/>
      <c r="G13" s="537"/>
      <c r="K13" s="575"/>
    </row>
    <row r="14" spans="1:31" ht="15" x14ac:dyDescent="0.25">
      <c r="C14" s="478"/>
      <c r="K14" s="575"/>
    </row>
    <row r="15" spans="1:31" ht="15" x14ac:dyDescent="0.25">
      <c r="C15" s="478"/>
      <c r="K15" s="575"/>
    </row>
    <row r="16" spans="1:31" ht="15" x14ac:dyDescent="0.25">
      <c r="C16" s="478"/>
      <c r="K16" s="575"/>
    </row>
    <row r="17" spans="3:11" ht="15" x14ac:dyDescent="0.25">
      <c r="C17" s="478"/>
      <c r="K17" s="575"/>
    </row>
    <row r="18" spans="3:11" x14ac:dyDescent="0.2">
      <c r="C18" s="478"/>
    </row>
    <row r="19" spans="3:11" ht="15" x14ac:dyDescent="0.25">
      <c r="C19" s="478"/>
      <c r="K19" s="575"/>
    </row>
    <row r="20" spans="3:11" ht="15" x14ac:dyDescent="0.25">
      <c r="C20" s="478"/>
      <c r="K20" s="575"/>
    </row>
    <row r="21" spans="3:11" ht="15" x14ac:dyDescent="0.25">
      <c r="C21" s="478"/>
      <c r="K21" s="575"/>
    </row>
    <row r="22" spans="3:11" ht="15" x14ac:dyDescent="0.25">
      <c r="C22" s="478"/>
      <c r="K22" s="575"/>
    </row>
    <row r="23" spans="3:11" ht="15" x14ac:dyDescent="0.25">
      <c r="C23" s="478"/>
      <c r="K23" s="575"/>
    </row>
    <row r="24" spans="3:11" x14ac:dyDescent="0.2">
      <c r="C24" s="478"/>
    </row>
    <row r="25" spans="3:11" x14ac:dyDescent="0.2">
      <c r="C25" s="478"/>
    </row>
    <row r="26" spans="3:11" x14ac:dyDescent="0.2">
      <c r="C26" s="577"/>
    </row>
    <row r="27" spans="3:11" x14ac:dyDescent="0.2">
      <c r="C27" s="478"/>
    </row>
    <row r="28" spans="3:11" x14ac:dyDescent="0.2">
      <c r="C28" s="478"/>
    </row>
    <row r="29" spans="3:11" x14ac:dyDescent="0.2">
      <c r="C29" s="478"/>
    </row>
    <row r="30" spans="3:11" x14ac:dyDescent="0.2">
      <c r="C30" s="478"/>
    </row>
    <row r="31" spans="3:11" x14ac:dyDescent="0.2">
      <c r="C31" s="478"/>
    </row>
    <row r="32" spans="3:11" x14ac:dyDescent="0.2">
      <c r="C32" s="478"/>
    </row>
    <row r="33" spans="3:11" x14ac:dyDescent="0.2">
      <c r="C33" s="478"/>
    </row>
    <row r="34" spans="3:11" x14ac:dyDescent="0.2">
      <c r="C34" s="478"/>
    </row>
    <row r="35" spans="3:11" ht="15" x14ac:dyDescent="0.25">
      <c r="C35" s="478"/>
      <c r="K35" s="575"/>
    </row>
    <row r="36" spans="3:11" x14ac:dyDescent="0.2">
      <c r="C36" s="478"/>
    </row>
    <row r="37" spans="3:11" x14ac:dyDescent="0.2">
      <c r="C37" s="478"/>
    </row>
    <row r="38" spans="3:11" ht="15" x14ac:dyDescent="0.25">
      <c r="C38" s="478"/>
      <c r="K38" s="575"/>
    </row>
    <row r="39" spans="3:11" ht="15" x14ac:dyDescent="0.25">
      <c r="C39" s="478"/>
      <c r="K39" s="575"/>
    </row>
    <row r="40" spans="3:11" x14ac:dyDescent="0.2">
      <c r="C40" s="478"/>
    </row>
    <row r="41" spans="3:11" x14ac:dyDescent="0.2">
      <c r="C41" s="478"/>
    </row>
    <row r="42" spans="3:11" x14ac:dyDescent="0.2">
      <c r="C42" s="577"/>
    </row>
    <row r="43" spans="3:11" x14ac:dyDescent="0.2">
      <c r="C43" s="478"/>
    </row>
    <row r="44" spans="3:11" ht="15" x14ac:dyDescent="0.25">
      <c r="C44" s="478"/>
      <c r="K44" s="575"/>
    </row>
    <row r="45" spans="3:11" x14ac:dyDescent="0.2">
      <c r="C45" s="478"/>
    </row>
    <row r="46" spans="3:11" x14ac:dyDescent="0.2">
      <c r="C46" s="577"/>
    </row>
    <row r="47" spans="3:11" x14ac:dyDescent="0.2">
      <c r="C47" s="478"/>
    </row>
    <row r="48" spans="3:11" ht="15" x14ac:dyDescent="0.25">
      <c r="C48" s="478"/>
      <c r="K48" s="575"/>
    </row>
    <row r="49" spans="3:11" ht="15" x14ac:dyDescent="0.25">
      <c r="C49" s="478"/>
      <c r="K49" s="575"/>
    </row>
    <row r="50" spans="3:11" x14ac:dyDescent="0.2">
      <c r="C50" s="478"/>
    </row>
    <row r="51" spans="3:11" x14ac:dyDescent="0.2">
      <c r="C51" s="478"/>
    </row>
    <row r="52" spans="3:11" x14ac:dyDescent="0.2">
      <c r="C52" s="478"/>
    </row>
    <row r="53" spans="3:11" x14ac:dyDescent="0.2">
      <c r="C53" s="478"/>
    </row>
    <row r="54" spans="3:11" ht="15" x14ac:dyDescent="0.25">
      <c r="C54" s="478"/>
      <c r="K54" s="575"/>
    </row>
    <row r="55" spans="3:11" ht="15" x14ac:dyDescent="0.25">
      <c r="C55" s="478"/>
      <c r="K55" s="575"/>
    </row>
    <row r="56" spans="3:11" x14ac:dyDescent="0.2">
      <c r="C56" s="478"/>
    </row>
    <row r="57" spans="3:11" x14ac:dyDescent="0.2">
      <c r="C57" s="478"/>
    </row>
    <row r="58" spans="3:11" x14ac:dyDescent="0.2">
      <c r="C58" s="478"/>
    </row>
    <row r="59" spans="3:11" x14ac:dyDescent="0.2">
      <c r="C59" s="577"/>
    </row>
    <row r="60" spans="3:11" x14ac:dyDescent="0.2">
      <c r="C60" s="577"/>
    </row>
    <row r="61" spans="3:11" x14ac:dyDescent="0.2">
      <c r="C61" s="577"/>
    </row>
    <row r="62" spans="3:11" x14ac:dyDescent="0.2">
      <c r="C62" s="577"/>
    </row>
    <row r="63" spans="3:11" x14ac:dyDescent="0.2">
      <c r="C63" s="577"/>
    </row>
    <row r="64" spans="3:11" x14ac:dyDescent="0.2">
      <c r="C64" s="577"/>
    </row>
    <row r="65" spans="3:3" x14ac:dyDescent="0.2">
      <c r="C65" s="577"/>
    </row>
    <row r="66" spans="3:3" x14ac:dyDescent="0.2">
      <c r="C66" s="577"/>
    </row>
    <row r="67" spans="3:3" x14ac:dyDescent="0.2">
      <c r="C67" s="577"/>
    </row>
    <row r="68" spans="3:3" x14ac:dyDescent="0.2">
      <c r="C68" s="577"/>
    </row>
    <row r="69" spans="3:3" x14ac:dyDescent="0.2">
      <c r="C69" s="577"/>
    </row>
    <row r="70" spans="3:3" x14ac:dyDescent="0.2">
      <c r="C70" s="577"/>
    </row>
    <row r="71" spans="3:3" x14ac:dyDescent="0.2">
      <c r="C71" s="577"/>
    </row>
    <row r="72" spans="3:3" x14ac:dyDescent="0.2">
      <c r="C72" s="577"/>
    </row>
    <row r="73" spans="3:3" x14ac:dyDescent="0.2">
      <c r="C73" s="577"/>
    </row>
    <row r="74" spans="3:3" x14ac:dyDescent="0.2">
      <c r="C74" s="577"/>
    </row>
    <row r="75" spans="3:3" x14ac:dyDescent="0.2">
      <c r="C75" s="577"/>
    </row>
    <row r="76" spans="3:3" x14ac:dyDescent="0.2">
      <c r="C76" s="577"/>
    </row>
    <row r="77" spans="3:3" x14ac:dyDescent="0.2">
      <c r="C77" s="577"/>
    </row>
    <row r="78" spans="3:3" x14ac:dyDescent="0.2">
      <c r="C78" s="577"/>
    </row>
    <row r="79" spans="3:3" x14ac:dyDescent="0.2">
      <c r="C79" s="577"/>
    </row>
    <row r="80" spans="3:3" x14ac:dyDescent="0.2">
      <c r="C80" s="577"/>
    </row>
    <row r="81" spans="3:3" x14ac:dyDescent="0.2">
      <c r="C81" s="577"/>
    </row>
    <row r="82" spans="3:3" x14ac:dyDescent="0.2">
      <c r="C82" s="577"/>
    </row>
    <row r="83" spans="3:3" x14ac:dyDescent="0.2">
      <c r="C83" s="577"/>
    </row>
    <row r="84" spans="3:3" x14ac:dyDescent="0.2">
      <c r="C84" s="577"/>
    </row>
    <row r="85" spans="3:3" x14ac:dyDescent="0.2">
      <c r="C85" s="577"/>
    </row>
    <row r="86" spans="3:3" x14ac:dyDescent="0.2">
      <c r="C86" s="577"/>
    </row>
    <row r="87" spans="3:3" x14ac:dyDescent="0.2">
      <c r="C87" s="577"/>
    </row>
    <row r="88" spans="3:3" x14ac:dyDescent="0.2">
      <c r="C88" s="577"/>
    </row>
    <row r="89" spans="3:3" x14ac:dyDescent="0.2">
      <c r="C89" s="577"/>
    </row>
    <row r="90" spans="3:3" x14ac:dyDescent="0.2">
      <c r="C90" s="577"/>
    </row>
    <row r="91" spans="3:3" x14ac:dyDescent="0.2">
      <c r="C91" s="577"/>
    </row>
    <row r="92" spans="3:3" x14ac:dyDescent="0.2">
      <c r="C92" s="577"/>
    </row>
    <row r="93" spans="3:3" x14ac:dyDescent="0.2">
      <c r="C93" s="577"/>
    </row>
    <row r="94" spans="3:3" x14ac:dyDescent="0.2">
      <c r="C94" s="577"/>
    </row>
    <row r="95" spans="3:3" x14ac:dyDescent="0.2">
      <c r="C95" s="577"/>
    </row>
    <row r="96" spans="3:3" x14ac:dyDescent="0.2">
      <c r="C96" s="577"/>
    </row>
    <row r="97" spans="3:3" x14ac:dyDescent="0.2">
      <c r="C97" s="577"/>
    </row>
    <row r="98" spans="3:3" x14ac:dyDescent="0.2">
      <c r="C98" s="577"/>
    </row>
    <row r="99" spans="3:3" x14ac:dyDescent="0.2">
      <c r="C99" s="577"/>
    </row>
    <row r="100" spans="3:3" x14ac:dyDescent="0.2">
      <c r="C100" s="577"/>
    </row>
    <row r="101" spans="3:3" x14ac:dyDescent="0.2">
      <c r="C101" s="478"/>
    </row>
    <row r="102" spans="3:3" x14ac:dyDescent="0.2">
      <c r="C102" s="577"/>
    </row>
  </sheetData>
  <mergeCells count="2">
    <mergeCell ref="A3:A12"/>
    <mergeCell ref="D1:Y1"/>
  </mergeCells>
  <conditionalFormatting sqref="D3:Q12">
    <cfRule type="cellIs" dxfId="11" priority="2" operator="equal">
      <formula>""</formula>
    </cfRule>
  </conditionalFormatting>
  <conditionalFormatting sqref="R3:Y12">
    <cfRule type="cellIs" dxfId="10" priority="1" operator="equal">
      <formula>""</formula>
    </cfRule>
  </conditionalFormatting>
  <hyperlinks>
    <hyperlink ref="C1" location="Inventory!A1" display="Inventory" xr:uid="{00000000-0004-0000-0E00-000000000000}"/>
  </hyperlink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98"/>
  <sheetViews>
    <sheetView showGridLines="0" zoomScale="80" zoomScaleNormal="80" workbookViewId="0">
      <selection activeCell="C1" sqref="C1"/>
    </sheetView>
  </sheetViews>
  <sheetFormatPr defaultRowHeight="12.75" x14ac:dyDescent="0.2"/>
  <cols>
    <col min="1" max="1" width="9.140625" style="410"/>
    <col min="2" max="2" width="17.140625" style="410" bestFit="1" customWidth="1"/>
    <col min="3" max="3" width="50.7109375" style="420" customWidth="1"/>
    <col min="4" max="4" width="5.7109375" style="410" customWidth="1"/>
    <col min="5" max="5" width="5.7109375" style="416" customWidth="1"/>
    <col min="6" max="7" width="5.7109375" style="417" customWidth="1"/>
    <col min="8" max="8" width="5.7109375" style="412" customWidth="1"/>
    <col min="9" max="9" width="5.7109375" style="410" customWidth="1"/>
    <col min="10" max="10" width="5.7109375" style="412" customWidth="1"/>
    <col min="11" max="19" width="5.7109375" style="410" customWidth="1"/>
    <col min="20" max="20" width="5.7109375" style="416" customWidth="1"/>
    <col min="21" max="25" width="5.7109375" style="410" customWidth="1"/>
    <col min="26" max="26" width="15.7109375" style="410" customWidth="1"/>
    <col min="27" max="30" width="3.5703125" style="410" bestFit="1" customWidth="1"/>
    <col min="31" max="16384" width="9.140625" style="410"/>
  </cols>
  <sheetData>
    <row r="1" spans="1:31" s="249" customFormat="1" ht="18.75" x14ac:dyDescent="0.25">
      <c r="A1" s="571" t="s">
        <v>3</v>
      </c>
      <c r="B1" s="572">
        <v>43586</v>
      </c>
      <c r="C1" s="409" t="s">
        <v>62</v>
      </c>
      <c r="D1" s="805" t="s">
        <v>297</v>
      </c>
      <c r="E1" s="805"/>
      <c r="F1" s="805"/>
      <c r="G1" s="805"/>
      <c r="H1" s="805"/>
      <c r="I1" s="805"/>
      <c r="J1" s="805"/>
      <c r="K1" s="805"/>
      <c r="L1" s="805"/>
      <c r="M1" s="805"/>
      <c r="N1" s="805"/>
      <c r="O1" s="805"/>
      <c r="P1" s="805"/>
      <c r="Q1" s="805"/>
      <c r="R1" s="805"/>
      <c r="S1" s="805"/>
      <c r="T1" s="805"/>
      <c r="U1" s="805"/>
      <c r="V1" s="805"/>
      <c r="W1" s="805"/>
      <c r="X1" s="805"/>
      <c r="Y1" s="805"/>
      <c r="Z1" s="408"/>
      <c r="AA1" s="408"/>
      <c r="AB1" s="408"/>
      <c r="AC1" s="408"/>
      <c r="AD1" s="408"/>
      <c r="AE1" s="408"/>
    </row>
    <row r="2" spans="1:31" ht="393" customHeight="1" thickBot="1" x14ac:dyDescent="0.25">
      <c r="A2" s="698"/>
      <c r="B2" s="699"/>
      <c r="C2" s="700" t="s">
        <v>320</v>
      </c>
      <c r="D2" s="701" t="s">
        <v>225</v>
      </c>
      <c r="E2" s="702" t="s">
        <v>226</v>
      </c>
      <c r="F2" s="701" t="s">
        <v>144</v>
      </c>
      <c r="G2" s="702" t="s">
        <v>145</v>
      </c>
      <c r="H2" s="701" t="s">
        <v>146</v>
      </c>
      <c r="I2" s="702" t="s">
        <v>147</v>
      </c>
      <c r="J2" s="701" t="s">
        <v>148</v>
      </c>
      <c r="K2" s="702" t="s">
        <v>149</v>
      </c>
      <c r="L2" s="701" t="s">
        <v>150</v>
      </c>
      <c r="M2" s="702" t="s">
        <v>151</v>
      </c>
      <c r="N2" s="701" t="s">
        <v>152</v>
      </c>
      <c r="O2" s="702" t="s">
        <v>153</v>
      </c>
      <c r="P2" s="701" t="s">
        <v>155</v>
      </c>
      <c r="Q2" s="702" t="s">
        <v>156</v>
      </c>
      <c r="R2" s="701" t="s">
        <v>157</v>
      </c>
      <c r="S2" s="702" t="s">
        <v>158</v>
      </c>
      <c r="T2" s="701" t="s">
        <v>159</v>
      </c>
      <c r="U2" s="702" t="s">
        <v>160</v>
      </c>
      <c r="V2" s="701" t="s">
        <v>161</v>
      </c>
      <c r="W2" s="702" t="s">
        <v>162</v>
      </c>
      <c r="X2" s="701" t="s">
        <v>163</v>
      </c>
      <c r="Y2" s="702" t="s">
        <v>164</v>
      </c>
      <c r="Z2" s="411"/>
      <c r="AA2" s="411"/>
      <c r="AB2" s="411"/>
      <c r="AC2" s="411"/>
      <c r="AD2" s="412"/>
    </row>
    <row r="3" spans="1:31" ht="17.25" customHeight="1" x14ac:dyDescent="0.2">
      <c r="A3" s="806" t="s">
        <v>299</v>
      </c>
      <c r="B3" s="703" t="s">
        <v>300</v>
      </c>
      <c r="C3" s="704" t="s">
        <v>301</v>
      </c>
      <c r="D3" s="705" t="s">
        <v>216</v>
      </c>
      <c r="E3" s="705" t="s">
        <v>216</v>
      </c>
      <c r="F3" s="705"/>
      <c r="G3" s="705"/>
      <c r="H3" s="705"/>
      <c r="I3" s="705"/>
      <c r="J3" s="705"/>
      <c r="K3" s="705"/>
      <c r="L3" s="705"/>
      <c r="M3" s="705"/>
      <c r="N3" s="705" t="s">
        <v>216</v>
      </c>
      <c r="O3" s="705" t="s">
        <v>216</v>
      </c>
      <c r="P3" s="705"/>
      <c r="Q3" s="705"/>
      <c r="R3" s="705"/>
      <c r="S3" s="705"/>
      <c r="T3" s="705"/>
      <c r="U3" s="705"/>
      <c r="V3" s="705"/>
      <c r="W3" s="705"/>
      <c r="X3" s="705"/>
      <c r="Y3" s="706"/>
    </row>
    <row r="4" spans="1:31" ht="17.25" customHeight="1" x14ac:dyDescent="0.2">
      <c r="A4" s="807"/>
      <c r="B4" s="707" t="s">
        <v>321</v>
      </c>
      <c r="C4" s="708" t="s">
        <v>322</v>
      </c>
      <c r="D4" s="709" t="s">
        <v>216</v>
      </c>
      <c r="E4" s="709" t="s">
        <v>216</v>
      </c>
      <c r="F4" s="709"/>
      <c r="G4" s="709" t="s">
        <v>216</v>
      </c>
      <c r="H4" s="709"/>
      <c r="I4" s="709"/>
      <c r="J4" s="709"/>
      <c r="K4" s="709"/>
      <c r="L4" s="709"/>
      <c r="M4" s="709"/>
      <c r="N4" s="709"/>
      <c r="O4" s="709"/>
      <c r="P4" s="709"/>
      <c r="Q4" s="709"/>
      <c r="R4" s="709"/>
      <c r="S4" s="709"/>
      <c r="T4" s="709"/>
      <c r="U4" s="709"/>
      <c r="V4" s="709"/>
      <c r="W4" s="709"/>
      <c r="X4" s="709"/>
      <c r="Y4" s="710"/>
    </row>
    <row r="5" spans="1:31" ht="17.25" customHeight="1" x14ac:dyDescent="0.2">
      <c r="A5" s="807"/>
      <c r="B5" s="707" t="s">
        <v>323</v>
      </c>
      <c r="C5" s="708" t="s">
        <v>324</v>
      </c>
      <c r="D5" s="709" t="s">
        <v>216</v>
      </c>
      <c r="E5" s="709" t="s">
        <v>216</v>
      </c>
      <c r="F5" s="709"/>
      <c r="G5" s="709" t="s">
        <v>216</v>
      </c>
      <c r="H5" s="709"/>
      <c r="I5" s="709"/>
      <c r="J5" s="709"/>
      <c r="K5" s="709"/>
      <c r="L5" s="709"/>
      <c r="M5" s="709"/>
      <c r="N5" s="709"/>
      <c r="O5" s="709"/>
      <c r="P5" s="709"/>
      <c r="Q5" s="709"/>
      <c r="R5" s="709"/>
      <c r="S5" s="709"/>
      <c r="T5" s="709"/>
      <c r="U5" s="709"/>
      <c r="V5" s="709"/>
      <c r="W5" s="709"/>
      <c r="X5" s="709"/>
      <c r="Y5" s="710"/>
    </row>
    <row r="6" spans="1:31" ht="17.25" customHeight="1" x14ac:dyDescent="0.2">
      <c r="A6" s="807"/>
      <c r="B6" s="707" t="s">
        <v>304</v>
      </c>
      <c r="C6" s="708" t="s">
        <v>305</v>
      </c>
      <c r="D6" s="709" t="s">
        <v>216</v>
      </c>
      <c r="E6" s="709" t="s">
        <v>216</v>
      </c>
      <c r="F6" s="709" t="s">
        <v>216</v>
      </c>
      <c r="G6" s="709"/>
      <c r="H6" s="709" t="s">
        <v>216</v>
      </c>
      <c r="I6" s="709" t="s">
        <v>216</v>
      </c>
      <c r="J6" s="709"/>
      <c r="K6" s="709"/>
      <c r="L6" s="709"/>
      <c r="M6" s="709"/>
      <c r="N6" s="709"/>
      <c r="O6" s="709" t="s">
        <v>216</v>
      </c>
      <c r="P6" s="709"/>
      <c r="Q6" s="709"/>
      <c r="R6" s="709"/>
      <c r="S6" s="709"/>
      <c r="T6" s="709"/>
      <c r="U6" s="709"/>
      <c r="V6" s="709" t="s">
        <v>216</v>
      </c>
      <c r="W6" s="709" t="s">
        <v>216</v>
      </c>
      <c r="X6" s="709"/>
      <c r="Y6" s="710"/>
    </row>
    <row r="7" spans="1:31" ht="17.25" customHeight="1" x14ac:dyDescent="0.2">
      <c r="A7" s="807"/>
      <c r="B7" s="707" t="s">
        <v>306</v>
      </c>
      <c r="C7" s="708" t="s">
        <v>307</v>
      </c>
      <c r="D7" s="709" t="s">
        <v>216</v>
      </c>
      <c r="E7" s="709" t="s">
        <v>216</v>
      </c>
      <c r="F7" s="709" t="s">
        <v>216</v>
      </c>
      <c r="G7" s="709"/>
      <c r="H7" s="709" t="s">
        <v>216</v>
      </c>
      <c r="I7" s="709" t="s">
        <v>216</v>
      </c>
      <c r="J7" s="709"/>
      <c r="K7" s="709"/>
      <c r="L7" s="709"/>
      <c r="M7" s="709"/>
      <c r="N7" s="709"/>
      <c r="O7" s="709" t="s">
        <v>216</v>
      </c>
      <c r="P7" s="709"/>
      <c r="Q7" s="709"/>
      <c r="R7" s="709"/>
      <c r="S7" s="709"/>
      <c r="T7" s="709"/>
      <c r="U7" s="709"/>
      <c r="V7" s="709" t="s">
        <v>216</v>
      </c>
      <c r="W7" s="709" t="s">
        <v>216</v>
      </c>
      <c r="X7" s="709"/>
      <c r="Y7" s="710"/>
    </row>
    <row r="8" spans="1:31" ht="17.25" customHeight="1" x14ac:dyDescent="0.2">
      <c r="A8" s="807"/>
      <c r="B8" s="707" t="s">
        <v>312</v>
      </c>
      <c r="C8" s="708" t="s">
        <v>313</v>
      </c>
      <c r="D8" s="709" t="s">
        <v>216</v>
      </c>
      <c r="E8" s="709" t="s">
        <v>216</v>
      </c>
      <c r="F8" s="709" t="s">
        <v>216</v>
      </c>
      <c r="G8" s="709"/>
      <c r="H8" s="709"/>
      <c r="I8" s="709"/>
      <c r="J8" s="709"/>
      <c r="K8" s="709"/>
      <c r="L8" s="709"/>
      <c r="M8" s="709"/>
      <c r="N8" s="709"/>
      <c r="O8" s="709" t="s">
        <v>216</v>
      </c>
      <c r="P8" s="709"/>
      <c r="Q8" s="709"/>
      <c r="R8" s="709"/>
      <c r="S8" s="709"/>
      <c r="T8" s="709"/>
      <c r="U8" s="709"/>
      <c r="V8" s="709"/>
      <c r="W8" s="709"/>
      <c r="X8" s="709"/>
      <c r="Y8" s="710"/>
    </row>
    <row r="9" spans="1:31" ht="17.25" customHeight="1" x14ac:dyDescent="0.2">
      <c r="A9" s="807"/>
      <c r="B9" s="707" t="s">
        <v>314</v>
      </c>
      <c r="C9" s="708" t="s">
        <v>315</v>
      </c>
      <c r="D9" s="709" t="s">
        <v>216</v>
      </c>
      <c r="E9" s="709" t="s">
        <v>216</v>
      </c>
      <c r="F9" s="709"/>
      <c r="G9" s="709"/>
      <c r="H9" s="709"/>
      <c r="I9" s="709"/>
      <c r="J9" s="709" t="s">
        <v>216</v>
      </c>
      <c r="K9" s="709" t="s">
        <v>216</v>
      </c>
      <c r="L9" s="709"/>
      <c r="M9" s="709"/>
      <c r="N9" s="709"/>
      <c r="O9" s="709" t="s">
        <v>216</v>
      </c>
      <c r="P9" s="709"/>
      <c r="Q9" s="709"/>
      <c r="R9" s="709"/>
      <c r="S9" s="709"/>
      <c r="T9" s="709"/>
      <c r="U9" s="709"/>
      <c r="V9" s="709"/>
      <c r="W9" s="709"/>
      <c r="X9" s="709"/>
      <c r="Y9" s="710"/>
    </row>
    <row r="10" spans="1:31" ht="17.25" customHeight="1" thickBot="1" x14ac:dyDescent="0.25">
      <c r="A10" s="808"/>
      <c r="B10" s="711" t="s">
        <v>316</v>
      </c>
      <c r="C10" s="715" t="s">
        <v>317</v>
      </c>
      <c r="D10" s="713" t="s">
        <v>216</v>
      </c>
      <c r="E10" s="713" t="s">
        <v>216</v>
      </c>
      <c r="F10" s="713"/>
      <c r="G10" s="713"/>
      <c r="H10" s="713"/>
      <c r="I10" s="713"/>
      <c r="J10" s="713" t="s">
        <v>216</v>
      </c>
      <c r="K10" s="713" t="s">
        <v>216</v>
      </c>
      <c r="L10" s="713"/>
      <c r="M10" s="713"/>
      <c r="N10" s="713"/>
      <c r="O10" s="713" t="s">
        <v>216</v>
      </c>
      <c r="P10" s="713"/>
      <c r="Q10" s="713"/>
      <c r="R10" s="713"/>
      <c r="S10" s="713"/>
      <c r="T10" s="713"/>
      <c r="U10" s="713"/>
      <c r="V10" s="713"/>
      <c r="W10" s="713"/>
      <c r="X10" s="713"/>
      <c r="Y10" s="714"/>
    </row>
    <row r="11" spans="1:31" ht="15" x14ac:dyDescent="0.25">
      <c r="C11" s="413"/>
      <c r="K11" s="415"/>
    </row>
    <row r="12" spans="1:31" ht="15" x14ac:dyDescent="0.25">
      <c r="C12" s="413"/>
      <c r="K12" s="415"/>
    </row>
    <row r="13" spans="1:31" ht="15" x14ac:dyDescent="0.25">
      <c r="C13" s="413"/>
      <c r="K13" s="415"/>
    </row>
    <row r="14" spans="1:31" x14ac:dyDescent="0.2">
      <c r="C14" s="413"/>
      <c r="K14" s="418"/>
    </row>
    <row r="15" spans="1:31" ht="15" x14ac:dyDescent="0.25">
      <c r="C15" s="413"/>
      <c r="K15" s="415"/>
    </row>
    <row r="16" spans="1:31" ht="15" x14ac:dyDescent="0.25">
      <c r="C16" s="413"/>
      <c r="K16" s="415"/>
    </row>
    <row r="17" spans="3:11" ht="15" x14ac:dyDescent="0.25">
      <c r="C17" s="413"/>
      <c r="K17" s="415"/>
    </row>
    <row r="18" spans="3:11" ht="15" x14ac:dyDescent="0.25">
      <c r="C18" s="413"/>
      <c r="K18" s="415"/>
    </row>
    <row r="19" spans="3:11" ht="15" x14ac:dyDescent="0.25">
      <c r="C19" s="413"/>
      <c r="K19" s="415"/>
    </row>
    <row r="20" spans="3:11" x14ac:dyDescent="0.2">
      <c r="C20" s="413"/>
      <c r="K20" s="418"/>
    </row>
    <row r="21" spans="3:11" x14ac:dyDescent="0.2">
      <c r="C21" s="413"/>
      <c r="K21" s="418"/>
    </row>
    <row r="22" spans="3:11" x14ac:dyDescent="0.2">
      <c r="C22" s="419"/>
    </row>
    <row r="23" spans="3:11" x14ac:dyDescent="0.2">
      <c r="C23" s="413"/>
      <c r="K23" s="418"/>
    </row>
    <row r="24" spans="3:11" x14ac:dyDescent="0.2">
      <c r="C24" s="413"/>
      <c r="K24" s="418"/>
    </row>
    <row r="25" spans="3:11" x14ac:dyDescent="0.2">
      <c r="C25" s="413"/>
      <c r="K25" s="418"/>
    </row>
    <row r="26" spans="3:11" x14ac:dyDescent="0.2">
      <c r="C26" s="413"/>
      <c r="K26" s="418"/>
    </row>
    <row r="27" spans="3:11" x14ac:dyDescent="0.2">
      <c r="C27" s="413"/>
      <c r="K27" s="418"/>
    </row>
    <row r="28" spans="3:11" x14ac:dyDescent="0.2">
      <c r="C28" s="413"/>
      <c r="K28" s="418"/>
    </row>
    <row r="29" spans="3:11" x14ac:dyDescent="0.2">
      <c r="C29" s="413"/>
      <c r="K29" s="418"/>
    </row>
    <row r="30" spans="3:11" x14ac:dyDescent="0.2">
      <c r="C30" s="413"/>
      <c r="K30" s="418"/>
    </row>
    <row r="31" spans="3:11" ht="15" x14ac:dyDescent="0.25">
      <c r="C31" s="413"/>
      <c r="K31" s="415"/>
    </row>
    <row r="32" spans="3:11" x14ac:dyDescent="0.2">
      <c r="C32" s="413"/>
      <c r="K32" s="418"/>
    </row>
    <row r="33" spans="3:11" x14ac:dyDescent="0.2">
      <c r="C33" s="413"/>
      <c r="K33" s="418"/>
    </row>
    <row r="34" spans="3:11" ht="15" x14ac:dyDescent="0.25">
      <c r="C34" s="413"/>
      <c r="K34" s="415"/>
    </row>
    <row r="35" spans="3:11" ht="15" x14ac:dyDescent="0.25">
      <c r="C35" s="413"/>
      <c r="K35" s="415"/>
    </row>
    <row r="36" spans="3:11" x14ac:dyDescent="0.2">
      <c r="C36" s="413"/>
      <c r="K36" s="418"/>
    </row>
    <row r="37" spans="3:11" x14ac:dyDescent="0.2">
      <c r="C37" s="413"/>
      <c r="K37" s="418"/>
    </row>
    <row r="38" spans="3:11" x14ac:dyDescent="0.2">
      <c r="C38" s="419"/>
    </row>
    <row r="39" spans="3:11" x14ac:dyDescent="0.2">
      <c r="C39" s="413"/>
      <c r="K39" s="418"/>
    </row>
    <row r="40" spans="3:11" ht="15" x14ac:dyDescent="0.25">
      <c r="C40" s="413"/>
      <c r="K40" s="415"/>
    </row>
    <row r="41" spans="3:11" x14ac:dyDescent="0.2">
      <c r="C41" s="413"/>
      <c r="K41" s="418"/>
    </row>
    <row r="42" spans="3:11" x14ac:dyDescent="0.2">
      <c r="C42" s="419"/>
    </row>
    <row r="43" spans="3:11" x14ac:dyDescent="0.2">
      <c r="C43" s="413"/>
      <c r="K43" s="418"/>
    </row>
    <row r="44" spans="3:11" ht="15" x14ac:dyDescent="0.25">
      <c r="C44" s="413"/>
      <c r="K44" s="415"/>
    </row>
    <row r="45" spans="3:11" ht="15" x14ac:dyDescent="0.25">
      <c r="C45" s="413"/>
      <c r="K45" s="415"/>
    </row>
    <row r="46" spans="3:11" x14ac:dyDescent="0.2">
      <c r="C46" s="413"/>
      <c r="K46" s="418"/>
    </row>
    <row r="47" spans="3:11" x14ac:dyDescent="0.2">
      <c r="C47" s="413"/>
      <c r="K47" s="418"/>
    </row>
    <row r="48" spans="3:11" x14ac:dyDescent="0.2">
      <c r="C48" s="413"/>
      <c r="K48" s="418"/>
    </row>
    <row r="49" spans="3:11" x14ac:dyDescent="0.2">
      <c r="C49" s="413"/>
      <c r="K49" s="418"/>
    </row>
    <row r="50" spans="3:11" ht="15" x14ac:dyDescent="0.25">
      <c r="C50" s="413"/>
      <c r="K50" s="415"/>
    </row>
    <row r="51" spans="3:11" ht="15" x14ac:dyDescent="0.25">
      <c r="C51" s="413"/>
      <c r="K51" s="415"/>
    </row>
    <row r="52" spans="3:11" x14ac:dyDescent="0.2">
      <c r="C52" s="413"/>
      <c r="K52" s="418"/>
    </row>
    <row r="53" spans="3:11" x14ac:dyDescent="0.2">
      <c r="C53" s="413"/>
      <c r="K53" s="418"/>
    </row>
    <row r="54" spans="3:11" x14ac:dyDescent="0.2">
      <c r="C54" s="413"/>
      <c r="K54" s="418"/>
    </row>
    <row r="55" spans="3:11" x14ac:dyDescent="0.2">
      <c r="C55" s="419"/>
    </row>
    <row r="56" spans="3:11" x14ac:dyDescent="0.2">
      <c r="C56" s="419"/>
    </row>
    <row r="57" spans="3:11" x14ac:dyDescent="0.2">
      <c r="C57" s="419"/>
    </row>
    <row r="58" spans="3:11" x14ac:dyDescent="0.2">
      <c r="C58" s="419"/>
    </row>
    <row r="59" spans="3:11" x14ac:dyDescent="0.2">
      <c r="C59" s="419"/>
    </row>
    <row r="60" spans="3:11" x14ac:dyDescent="0.2">
      <c r="C60" s="419"/>
    </row>
    <row r="61" spans="3:11" x14ac:dyDescent="0.2">
      <c r="C61" s="419"/>
    </row>
    <row r="62" spans="3:11" x14ac:dyDescent="0.2">
      <c r="C62" s="419"/>
    </row>
    <row r="63" spans="3:11" x14ac:dyDescent="0.2">
      <c r="C63" s="419"/>
    </row>
    <row r="64" spans="3:11" x14ac:dyDescent="0.2">
      <c r="C64" s="419"/>
    </row>
    <row r="65" spans="3:3" x14ac:dyDescent="0.2">
      <c r="C65" s="419"/>
    </row>
    <row r="66" spans="3:3" x14ac:dyDescent="0.2">
      <c r="C66" s="419"/>
    </row>
    <row r="67" spans="3:3" x14ac:dyDescent="0.2">
      <c r="C67" s="419"/>
    </row>
    <row r="68" spans="3:3" x14ac:dyDescent="0.2">
      <c r="C68" s="419"/>
    </row>
    <row r="69" spans="3:3" x14ac:dyDescent="0.2">
      <c r="C69" s="419"/>
    </row>
    <row r="70" spans="3:3" x14ac:dyDescent="0.2">
      <c r="C70" s="419"/>
    </row>
    <row r="71" spans="3:3" x14ac:dyDescent="0.2">
      <c r="C71" s="419"/>
    </row>
    <row r="72" spans="3:3" x14ac:dyDescent="0.2">
      <c r="C72" s="419"/>
    </row>
    <row r="73" spans="3:3" x14ac:dyDescent="0.2">
      <c r="C73" s="419"/>
    </row>
    <row r="74" spans="3:3" x14ac:dyDescent="0.2">
      <c r="C74" s="419"/>
    </row>
    <row r="75" spans="3:3" x14ac:dyDescent="0.2">
      <c r="C75" s="419"/>
    </row>
    <row r="76" spans="3:3" x14ac:dyDescent="0.2">
      <c r="C76" s="419"/>
    </row>
    <row r="77" spans="3:3" x14ac:dyDescent="0.2">
      <c r="C77" s="419"/>
    </row>
    <row r="78" spans="3:3" x14ac:dyDescent="0.2">
      <c r="C78" s="419"/>
    </row>
    <row r="79" spans="3:3" x14ac:dyDescent="0.2">
      <c r="C79" s="419"/>
    </row>
    <row r="80" spans="3:3" x14ac:dyDescent="0.2">
      <c r="C80" s="419"/>
    </row>
    <row r="81" spans="3:3" x14ac:dyDescent="0.2">
      <c r="C81" s="419"/>
    </row>
    <row r="82" spans="3:3" x14ac:dyDescent="0.2">
      <c r="C82" s="419"/>
    </row>
    <row r="83" spans="3:3" x14ac:dyDescent="0.2">
      <c r="C83" s="419"/>
    </row>
    <row r="84" spans="3:3" x14ac:dyDescent="0.2">
      <c r="C84" s="419"/>
    </row>
    <row r="85" spans="3:3" x14ac:dyDescent="0.2">
      <c r="C85" s="419"/>
    </row>
    <row r="86" spans="3:3" x14ac:dyDescent="0.2">
      <c r="C86" s="419"/>
    </row>
    <row r="87" spans="3:3" x14ac:dyDescent="0.2">
      <c r="C87" s="419"/>
    </row>
    <row r="88" spans="3:3" x14ac:dyDescent="0.2">
      <c r="C88" s="419"/>
    </row>
    <row r="89" spans="3:3" x14ac:dyDescent="0.2">
      <c r="C89" s="419"/>
    </row>
    <row r="90" spans="3:3" x14ac:dyDescent="0.2">
      <c r="C90" s="419"/>
    </row>
    <row r="91" spans="3:3" x14ac:dyDescent="0.2">
      <c r="C91" s="419"/>
    </row>
    <row r="92" spans="3:3" x14ac:dyDescent="0.2">
      <c r="C92" s="419"/>
    </row>
    <row r="93" spans="3:3" x14ac:dyDescent="0.2">
      <c r="C93" s="419"/>
    </row>
    <row r="94" spans="3:3" x14ac:dyDescent="0.2">
      <c r="C94" s="419"/>
    </row>
    <row r="95" spans="3:3" x14ac:dyDescent="0.2">
      <c r="C95" s="419"/>
    </row>
    <row r="96" spans="3:3" x14ac:dyDescent="0.2">
      <c r="C96" s="419"/>
    </row>
    <row r="97" spans="3:3" x14ac:dyDescent="0.2">
      <c r="C97" s="413"/>
    </row>
    <row r="98" spans="3:3" x14ac:dyDescent="0.2">
      <c r="C98" s="419"/>
    </row>
  </sheetData>
  <mergeCells count="2">
    <mergeCell ref="A3:A10"/>
    <mergeCell ref="D1:Y1"/>
  </mergeCells>
  <conditionalFormatting sqref="D3:Q10">
    <cfRule type="cellIs" dxfId="9" priority="2" operator="equal">
      <formula>""</formula>
    </cfRule>
  </conditionalFormatting>
  <conditionalFormatting sqref="R3:Y10">
    <cfRule type="cellIs" dxfId="8" priority="1" operator="equal">
      <formula>""</formula>
    </cfRule>
  </conditionalFormatting>
  <hyperlinks>
    <hyperlink ref="C1" location="Inventory!A1" display="Inventory"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98"/>
  <sheetViews>
    <sheetView showGridLines="0" zoomScale="80" zoomScaleNormal="80" workbookViewId="0">
      <selection activeCell="C1" sqref="C1"/>
    </sheetView>
  </sheetViews>
  <sheetFormatPr defaultRowHeight="12.75" x14ac:dyDescent="0.2"/>
  <cols>
    <col min="1" max="1" width="9.140625" style="410"/>
    <col min="2" max="2" width="17.140625" style="410" bestFit="1" customWidth="1"/>
    <col min="3" max="3" width="50.7109375" style="420" customWidth="1"/>
    <col min="4" max="4" width="5.7109375" style="410" customWidth="1"/>
    <col min="5" max="5" width="5.7109375" style="416" customWidth="1"/>
    <col min="6" max="7" width="5.7109375" style="417" customWidth="1"/>
    <col min="8" max="8" width="5.7109375" style="412" customWidth="1"/>
    <col min="9" max="9" width="5.7109375" style="410" customWidth="1"/>
    <col min="10" max="10" width="5.7109375" style="412" customWidth="1"/>
    <col min="11" max="19" width="5.7109375" style="410" customWidth="1"/>
    <col min="20" max="20" width="5.7109375" style="416" customWidth="1"/>
    <col min="21" max="25" width="5.7109375" style="410" customWidth="1"/>
    <col min="26" max="26" width="15.7109375" style="410" customWidth="1"/>
    <col min="27" max="30" width="3.5703125" style="410" bestFit="1" customWidth="1"/>
    <col min="31" max="16384" width="9.140625" style="410"/>
  </cols>
  <sheetData>
    <row r="1" spans="1:31" s="249" customFormat="1" ht="18.75" x14ac:dyDescent="0.25">
      <c r="A1" s="571" t="s">
        <v>3</v>
      </c>
      <c r="B1" s="572">
        <v>44409</v>
      </c>
      <c r="C1" s="409" t="s">
        <v>62</v>
      </c>
      <c r="D1" s="805" t="s">
        <v>297</v>
      </c>
      <c r="E1" s="805"/>
      <c r="F1" s="805"/>
      <c r="G1" s="805"/>
      <c r="H1" s="805"/>
      <c r="I1" s="805"/>
      <c r="J1" s="805"/>
      <c r="K1" s="805"/>
      <c r="L1" s="805"/>
      <c r="M1" s="805"/>
      <c r="N1" s="805"/>
      <c r="O1" s="805"/>
      <c r="P1" s="805"/>
      <c r="Q1" s="805"/>
      <c r="R1" s="805"/>
      <c r="S1" s="805"/>
      <c r="T1" s="805"/>
      <c r="U1" s="805"/>
      <c r="V1" s="805"/>
      <c r="W1" s="805"/>
      <c r="X1" s="805"/>
      <c r="Y1" s="805"/>
      <c r="Z1" s="408"/>
      <c r="AA1" s="408"/>
      <c r="AB1" s="408"/>
      <c r="AC1" s="408"/>
      <c r="AD1" s="408"/>
      <c r="AE1" s="408"/>
    </row>
    <row r="2" spans="1:31" ht="393" customHeight="1" thickBot="1" x14ac:dyDescent="0.25">
      <c r="A2" s="698"/>
      <c r="B2" s="699"/>
      <c r="C2" s="700" t="s">
        <v>325</v>
      </c>
      <c r="D2" s="701" t="s">
        <v>225</v>
      </c>
      <c r="E2" s="702" t="s">
        <v>226</v>
      </c>
      <c r="F2" s="701" t="s">
        <v>144</v>
      </c>
      <c r="G2" s="702" t="s">
        <v>145</v>
      </c>
      <c r="H2" s="701" t="s">
        <v>146</v>
      </c>
      <c r="I2" s="702" t="s">
        <v>147</v>
      </c>
      <c r="J2" s="701" t="s">
        <v>148</v>
      </c>
      <c r="K2" s="702" t="s">
        <v>149</v>
      </c>
      <c r="L2" s="701" t="s">
        <v>150</v>
      </c>
      <c r="M2" s="702" t="s">
        <v>151</v>
      </c>
      <c r="N2" s="701" t="s">
        <v>152</v>
      </c>
      <c r="O2" s="702" t="s">
        <v>153</v>
      </c>
      <c r="P2" s="701" t="s">
        <v>155</v>
      </c>
      <c r="Q2" s="702" t="s">
        <v>156</v>
      </c>
      <c r="R2" s="701" t="s">
        <v>157</v>
      </c>
      <c r="S2" s="702" t="s">
        <v>158</v>
      </c>
      <c r="T2" s="701" t="s">
        <v>159</v>
      </c>
      <c r="U2" s="702" t="s">
        <v>160</v>
      </c>
      <c r="V2" s="701" t="s">
        <v>161</v>
      </c>
      <c r="W2" s="702" t="s">
        <v>162</v>
      </c>
      <c r="X2" s="701" t="s">
        <v>163</v>
      </c>
      <c r="Y2" s="702" t="s">
        <v>164</v>
      </c>
      <c r="Z2" s="411"/>
      <c r="AA2" s="411"/>
      <c r="AB2" s="411"/>
      <c r="AC2" s="411"/>
      <c r="AD2" s="412"/>
    </row>
    <row r="3" spans="1:31" ht="17.25" customHeight="1" x14ac:dyDescent="0.2">
      <c r="A3" s="806" t="s">
        <v>299</v>
      </c>
      <c r="B3" s="703" t="s">
        <v>300</v>
      </c>
      <c r="C3" s="704" t="s">
        <v>301</v>
      </c>
      <c r="D3" s="705" t="s">
        <v>216</v>
      </c>
      <c r="E3" s="705" t="s">
        <v>216</v>
      </c>
      <c r="F3" s="705"/>
      <c r="G3" s="705"/>
      <c r="H3" s="705"/>
      <c r="I3" s="705"/>
      <c r="J3" s="705"/>
      <c r="K3" s="705"/>
      <c r="L3" s="705"/>
      <c r="M3" s="705"/>
      <c r="N3" s="705" t="s">
        <v>216</v>
      </c>
      <c r="O3" s="705" t="s">
        <v>216</v>
      </c>
      <c r="P3" s="705"/>
      <c r="Q3" s="705"/>
      <c r="R3" s="705"/>
      <c r="S3" s="705"/>
      <c r="T3" s="705"/>
      <c r="U3" s="705"/>
      <c r="V3" s="705"/>
      <c r="W3" s="705"/>
      <c r="X3" s="705"/>
      <c r="Y3" s="706"/>
    </row>
    <row r="4" spans="1:31" ht="17.25" customHeight="1" x14ac:dyDescent="0.2">
      <c r="A4" s="807"/>
      <c r="B4" s="707" t="s">
        <v>304</v>
      </c>
      <c r="C4" s="708" t="s">
        <v>305</v>
      </c>
      <c r="D4" s="709" t="s">
        <v>216</v>
      </c>
      <c r="E4" s="709" t="s">
        <v>216</v>
      </c>
      <c r="F4" s="709" t="s">
        <v>216</v>
      </c>
      <c r="G4" s="709"/>
      <c r="H4" s="709" t="s">
        <v>216</v>
      </c>
      <c r="I4" s="709" t="s">
        <v>216</v>
      </c>
      <c r="J4" s="709"/>
      <c r="K4" s="709"/>
      <c r="L4" s="709"/>
      <c r="M4" s="709"/>
      <c r="N4" s="709"/>
      <c r="O4" s="709" t="s">
        <v>216</v>
      </c>
      <c r="P4" s="709"/>
      <c r="Q4" s="709"/>
      <c r="R4" s="709"/>
      <c r="S4" s="709"/>
      <c r="T4" s="709"/>
      <c r="U4" s="709"/>
      <c r="V4" s="709" t="s">
        <v>216</v>
      </c>
      <c r="W4" s="709" t="s">
        <v>216</v>
      </c>
      <c r="X4" s="709"/>
      <c r="Y4" s="710"/>
    </row>
    <row r="5" spans="1:31" ht="17.25" customHeight="1" x14ac:dyDescent="0.2">
      <c r="A5" s="807"/>
      <c r="B5" s="707" t="s">
        <v>306</v>
      </c>
      <c r="C5" s="708" t="s">
        <v>307</v>
      </c>
      <c r="D5" s="709" t="s">
        <v>216</v>
      </c>
      <c r="E5" s="709" t="s">
        <v>216</v>
      </c>
      <c r="F5" s="709" t="s">
        <v>216</v>
      </c>
      <c r="G5" s="709"/>
      <c r="H5" s="709" t="s">
        <v>216</v>
      </c>
      <c r="I5" s="709" t="s">
        <v>216</v>
      </c>
      <c r="J5" s="709"/>
      <c r="K5" s="709"/>
      <c r="L5" s="709"/>
      <c r="M5" s="709"/>
      <c r="N5" s="709"/>
      <c r="O5" s="709" t="s">
        <v>216</v>
      </c>
      <c r="P5" s="709"/>
      <c r="Q5" s="709"/>
      <c r="R5" s="709"/>
      <c r="S5" s="709"/>
      <c r="T5" s="709"/>
      <c r="U5" s="709"/>
      <c r="V5" s="709" t="s">
        <v>216</v>
      </c>
      <c r="W5" s="709" t="s">
        <v>216</v>
      </c>
      <c r="X5" s="709"/>
      <c r="Y5" s="710"/>
    </row>
    <row r="6" spans="1:31" ht="17.25" customHeight="1" x14ac:dyDescent="0.2">
      <c r="A6" s="807"/>
      <c r="B6" s="707" t="s">
        <v>308</v>
      </c>
      <c r="C6" s="708" t="s">
        <v>309</v>
      </c>
      <c r="D6" s="709" t="s">
        <v>216</v>
      </c>
      <c r="E6" s="709" t="s">
        <v>216</v>
      </c>
      <c r="F6" s="709"/>
      <c r="G6" s="709"/>
      <c r="H6" s="709" t="s">
        <v>216</v>
      </c>
      <c r="I6" s="709" t="s">
        <v>216</v>
      </c>
      <c r="J6" s="709"/>
      <c r="K6" s="709"/>
      <c r="L6" s="709"/>
      <c r="M6" s="709" t="s">
        <v>216</v>
      </c>
      <c r="N6" s="709"/>
      <c r="O6" s="709" t="s">
        <v>216</v>
      </c>
      <c r="P6" s="709" t="s">
        <v>216</v>
      </c>
      <c r="Q6" s="709" t="s">
        <v>216</v>
      </c>
      <c r="R6" s="709" t="s">
        <v>216</v>
      </c>
      <c r="S6" s="709" t="s">
        <v>216</v>
      </c>
      <c r="T6" s="709" t="s">
        <v>216</v>
      </c>
      <c r="U6" s="709" t="s">
        <v>216</v>
      </c>
      <c r="V6" s="709" t="s">
        <v>216</v>
      </c>
      <c r="W6" s="709" t="s">
        <v>216</v>
      </c>
      <c r="X6" s="709"/>
      <c r="Y6" s="710"/>
    </row>
    <row r="7" spans="1:31" ht="17.25" customHeight="1" x14ac:dyDescent="0.2">
      <c r="A7" s="807"/>
      <c r="B7" s="707" t="s">
        <v>310</v>
      </c>
      <c r="C7" s="708" t="s">
        <v>311</v>
      </c>
      <c r="D7" s="709" t="s">
        <v>216</v>
      </c>
      <c r="E7" s="709" t="s">
        <v>216</v>
      </c>
      <c r="F7" s="709"/>
      <c r="G7" s="709"/>
      <c r="H7" s="709" t="s">
        <v>216</v>
      </c>
      <c r="I7" s="709" t="s">
        <v>216</v>
      </c>
      <c r="J7" s="709"/>
      <c r="K7" s="709"/>
      <c r="L7" s="709"/>
      <c r="M7" s="709" t="s">
        <v>216</v>
      </c>
      <c r="N7" s="709"/>
      <c r="O7" s="709" t="s">
        <v>216</v>
      </c>
      <c r="P7" s="709" t="s">
        <v>216</v>
      </c>
      <c r="Q7" s="709" t="s">
        <v>216</v>
      </c>
      <c r="R7" s="709" t="s">
        <v>216</v>
      </c>
      <c r="S7" s="709" t="s">
        <v>216</v>
      </c>
      <c r="T7" s="709" t="s">
        <v>216</v>
      </c>
      <c r="U7" s="709" t="s">
        <v>216</v>
      </c>
      <c r="V7" s="709" t="s">
        <v>216</v>
      </c>
      <c r="W7" s="709" t="s">
        <v>216</v>
      </c>
      <c r="X7" s="709"/>
      <c r="Y7" s="710"/>
    </row>
    <row r="8" spans="1:31" ht="17.25" customHeight="1" x14ac:dyDescent="0.2">
      <c r="A8" s="807"/>
      <c r="B8" s="707" t="s">
        <v>312</v>
      </c>
      <c r="C8" s="708" t="s">
        <v>313</v>
      </c>
      <c r="D8" s="709" t="s">
        <v>216</v>
      </c>
      <c r="E8" s="709" t="s">
        <v>216</v>
      </c>
      <c r="F8" s="709" t="s">
        <v>216</v>
      </c>
      <c r="G8" s="709"/>
      <c r="H8" s="709"/>
      <c r="I8" s="709"/>
      <c r="J8" s="709"/>
      <c r="K8" s="709"/>
      <c r="L8" s="709"/>
      <c r="M8" s="709"/>
      <c r="N8" s="709"/>
      <c r="O8" s="709" t="s">
        <v>216</v>
      </c>
      <c r="P8" s="709"/>
      <c r="Q8" s="709"/>
      <c r="R8" s="709"/>
      <c r="S8" s="709"/>
      <c r="T8" s="709"/>
      <c r="U8" s="709"/>
      <c r="V8" s="709"/>
      <c r="W8" s="709"/>
      <c r="X8" s="709"/>
      <c r="Y8" s="710"/>
    </row>
    <row r="9" spans="1:31" ht="17.25" customHeight="1" x14ac:dyDescent="0.2">
      <c r="A9" s="807"/>
      <c r="B9" s="707" t="s">
        <v>314</v>
      </c>
      <c r="C9" s="708" t="s">
        <v>315</v>
      </c>
      <c r="D9" s="709" t="s">
        <v>216</v>
      </c>
      <c r="E9" s="709" t="s">
        <v>216</v>
      </c>
      <c r="F9" s="709"/>
      <c r="G9" s="709"/>
      <c r="H9" s="709"/>
      <c r="I9" s="709"/>
      <c r="J9" s="709" t="s">
        <v>216</v>
      </c>
      <c r="K9" s="709" t="s">
        <v>216</v>
      </c>
      <c r="L9" s="709"/>
      <c r="M9" s="709"/>
      <c r="N9" s="709"/>
      <c r="O9" s="709" t="s">
        <v>216</v>
      </c>
      <c r="P9" s="709"/>
      <c r="Q9" s="709"/>
      <c r="R9" s="709"/>
      <c r="S9" s="709"/>
      <c r="T9" s="709"/>
      <c r="U9" s="709"/>
      <c r="V9" s="709"/>
      <c r="W9" s="709"/>
      <c r="X9" s="709"/>
      <c r="Y9" s="710"/>
    </row>
    <row r="10" spans="1:31" ht="17.25" customHeight="1" thickBot="1" x14ac:dyDescent="0.25">
      <c r="A10" s="808"/>
      <c r="B10" s="711" t="s">
        <v>316</v>
      </c>
      <c r="C10" s="715" t="s">
        <v>317</v>
      </c>
      <c r="D10" s="713" t="s">
        <v>216</v>
      </c>
      <c r="E10" s="713" t="s">
        <v>216</v>
      </c>
      <c r="F10" s="713"/>
      <c r="G10" s="713"/>
      <c r="H10" s="713"/>
      <c r="I10" s="713"/>
      <c r="J10" s="713" t="s">
        <v>216</v>
      </c>
      <c r="K10" s="713" t="s">
        <v>216</v>
      </c>
      <c r="L10" s="713"/>
      <c r="M10" s="713"/>
      <c r="N10" s="713"/>
      <c r="O10" s="713" t="s">
        <v>216</v>
      </c>
      <c r="P10" s="713"/>
      <c r="Q10" s="713"/>
      <c r="R10" s="713"/>
      <c r="S10" s="713"/>
      <c r="T10" s="713"/>
      <c r="U10" s="713"/>
      <c r="V10" s="713"/>
      <c r="W10" s="713"/>
      <c r="X10" s="713"/>
      <c r="Y10" s="714"/>
    </row>
    <row r="11" spans="1:31" ht="15" x14ac:dyDescent="0.25">
      <c r="C11" s="413"/>
      <c r="K11" s="415"/>
    </row>
    <row r="12" spans="1:31" ht="15" x14ac:dyDescent="0.25">
      <c r="C12" s="413"/>
      <c r="K12" s="415"/>
    </row>
    <row r="13" spans="1:31" ht="15" x14ac:dyDescent="0.25">
      <c r="C13" s="413"/>
      <c r="K13" s="415"/>
    </row>
    <row r="14" spans="1:31" x14ac:dyDescent="0.2">
      <c r="C14" s="413"/>
      <c r="K14" s="418"/>
    </row>
    <row r="15" spans="1:31" ht="15" x14ac:dyDescent="0.25">
      <c r="C15" s="413"/>
      <c r="K15" s="415"/>
    </row>
    <row r="16" spans="1:31" ht="15" x14ac:dyDescent="0.25">
      <c r="C16" s="413"/>
      <c r="K16" s="415"/>
    </row>
    <row r="17" spans="3:11" ht="15" x14ac:dyDescent="0.25">
      <c r="C17" s="413"/>
      <c r="K17" s="415"/>
    </row>
    <row r="18" spans="3:11" ht="15" x14ac:dyDescent="0.25">
      <c r="C18" s="413"/>
      <c r="K18" s="415"/>
    </row>
    <row r="19" spans="3:11" ht="15" x14ac:dyDescent="0.25">
      <c r="C19" s="413"/>
      <c r="K19" s="415"/>
    </row>
    <row r="20" spans="3:11" x14ac:dyDescent="0.2">
      <c r="C20" s="413"/>
      <c r="K20" s="418"/>
    </row>
    <row r="21" spans="3:11" x14ac:dyDescent="0.2">
      <c r="C21" s="413"/>
      <c r="K21" s="418"/>
    </row>
    <row r="22" spans="3:11" x14ac:dyDescent="0.2">
      <c r="C22" s="419"/>
    </row>
    <row r="23" spans="3:11" x14ac:dyDescent="0.2">
      <c r="C23" s="413"/>
      <c r="K23" s="418"/>
    </row>
    <row r="24" spans="3:11" x14ac:dyDescent="0.2">
      <c r="C24" s="413"/>
      <c r="K24" s="418"/>
    </row>
    <row r="25" spans="3:11" x14ac:dyDescent="0.2">
      <c r="C25" s="413"/>
      <c r="K25" s="418"/>
    </row>
    <row r="26" spans="3:11" x14ac:dyDescent="0.2">
      <c r="C26" s="413"/>
      <c r="K26" s="418"/>
    </row>
    <row r="27" spans="3:11" x14ac:dyDescent="0.2">
      <c r="C27" s="413"/>
      <c r="K27" s="418"/>
    </row>
    <row r="28" spans="3:11" x14ac:dyDescent="0.2">
      <c r="C28" s="413"/>
      <c r="K28" s="418"/>
    </row>
    <row r="29" spans="3:11" x14ac:dyDescent="0.2">
      <c r="C29" s="413"/>
      <c r="K29" s="418"/>
    </row>
    <row r="30" spans="3:11" x14ac:dyDescent="0.2">
      <c r="C30" s="413"/>
      <c r="K30" s="418"/>
    </row>
    <row r="31" spans="3:11" ht="15" x14ac:dyDescent="0.25">
      <c r="C31" s="413"/>
      <c r="K31" s="415"/>
    </row>
    <row r="32" spans="3:11" x14ac:dyDescent="0.2">
      <c r="C32" s="413"/>
      <c r="K32" s="418"/>
    </row>
    <row r="33" spans="3:11" x14ac:dyDescent="0.2">
      <c r="C33" s="413"/>
      <c r="K33" s="418"/>
    </row>
    <row r="34" spans="3:11" ht="15" x14ac:dyDescent="0.25">
      <c r="C34" s="413"/>
      <c r="K34" s="415"/>
    </row>
    <row r="35" spans="3:11" ht="15" x14ac:dyDescent="0.25">
      <c r="C35" s="413"/>
      <c r="K35" s="415"/>
    </row>
    <row r="36" spans="3:11" x14ac:dyDescent="0.2">
      <c r="C36" s="413"/>
      <c r="K36" s="418"/>
    </row>
    <row r="37" spans="3:11" x14ac:dyDescent="0.2">
      <c r="C37" s="413"/>
      <c r="K37" s="418"/>
    </row>
    <row r="38" spans="3:11" x14ac:dyDescent="0.2">
      <c r="C38" s="419"/>
    </row>
    <row r="39" spans="3:11" x14ac:dyDescent="0.2">
      <c r="C39" s="413"/>
      <c r="K39" s="418"/>
    </row>
    <row r="40" spans="3:11" ht="15" x14ac:dyDescent="0.25">
      <c r="C40" s="413"/>
      <c r="K40" s="415"/>
    </row>
    <row r="41" spans="3:11" x14ac:dyDescent="0.2">
      <c r="C41" s="413"/>
      <c r="K41" s="418"/>
    </row>
    <row r="42" spans="3:11" x14ac:dyDescent="0.2">
      <c r="C42" s="419"/>
    </row>
    <row r="43" spans="3:11" x14ac:dyDescent="0.2">
      <c r="C43" s="413"/>
      <c r="K43" s="418"/>
    </row>
    <row r="44" spans="3:11" ht="15" x14ac:dyDescent="0.25">
      <c r="C44" s="413"/>
      <c r="K44" s="415"/>
    </row>
    <row r="45" spans="3:11" ht="15" x14ac:dyDescent="0.25">
      <c r="C45" s="413"/>
      <c r="K45" s="415"/>
    </row>
    <row r="46" spans="3:11" x14ac:dyDescent="0.2">
      <c r="C46" s="413"/>
      <c r="K46" s="418"/>
    </row>
    <row r="47" spans="3:11" x14ac:dyDescent="0.2">
      <c r="C47" s="413"/>
      <c r="K47" s="418"/>
    </row>
    <row r="48" spans="3:11" x14ac:dyDescent="0.2">
      <c r="C48" s="413"/>
      <c r="K48" s="418"/>
    </row>
    <row r="49" spans="3:11" x14ac:dyDescent="0.2">
      <c r="C49" s="413"/>
      <c r="K49" s="418"/>
    </row>
    <row r="50" spans="3:11" ht="15" x14ac:dyDescent="0.25">
      <c r="C50" s="413"/>
      <c r="K50" s="415"/>
    </row>
    <row r="51" spans="3:11" ht="15" x14ac:dyDescent="0.25">
      <c r="C51" s="413"/>
      <c r="K51" s="415"/>
    </row>
    <row r="52" spans="3:11" x14ac:dyDescent="0.2">
      <c r="C52" s="413"/>
      <c r="K52" s="418"/>
    </row>
    <row r="53" spans="3:11" x14ac:dyDescent="0.2">
      <c r="C53" s="413"/>
      <c r="K53" s="418"/>
    </row>
    <row r="54" spans="3:11" x14ac:dyDescent="0.2">
      <c r="C54" s="413"/>
      <c r="K54" s="418"/>
    </row>
    <row r="55" spans="3:11" x14ac:dyDescent="0.2">
      <c r="C55" s="419"/>
    </row>
    <row r="56" spans="3:11" x14ac:dyDescent="0.2">
      <c r="C56" s="419"/>
    </row>
    <row r="57" spans="3:11" x14ac:dyDescent="0.2">
      <c r="C57" s="419"/>
    </row>
    <row r="58" spans="3:11" x14ac:dyDescent="0.2">
      <c r="C58" s="419"/>
    </row>
    <row r="59" spans="3:11" x14ac:dyDescent="0.2">
      <c r="C59" s="419"/>
    </row>
    <row r="60" spans="3:11" x14ac:dyDescent="0.2">
      <c r="C60" s="419"/>
    </row>
    <row r="61" spans="3:11" x14ac:dyDescent="0.2">
      <c r="C61" s="419"/>
    </row>
    <row r="62" spans="3:11" x14ac:dyDescent="0.2">
      <c r="C62" s="419"/>
    </row>
    <row r="63" spans="3:11" x14ac:dyDescent="0.2">
      <c r="C63" s="419"/>
    </row>
    <row r="64" spans="3:11" x14ac:dyDescent="0.2">
      <c r="C64" s="419"/>
    </row>
    <row r="65" spans="3:3" x14ac:dyDescent="0.2">
      <c r="C65" s="419"/>
    </row>
    <row r="66" spans="3:3" x14ac:dyDescent="0.2">
      <c r="C66" s="419"/>
    </row>
    <row r="67" spans="3:3" x14ac:dyDescent="0.2">
      <c r="C67" s="419"/>
    </row>
    <row r="68" spans="3:3" x14ac:dyDescent="0.2">
      <c r="C68" s="419"/>
    </row>
    <row r="69" spans="3:3" x14ac:dyDescent="0.2">
      <c r="C69" s="419"/>
    </row>
    <row r="70" spans="3:3" x14ac:dyDescent="0.2">
      <c r="C70" s="419"/>
    </row>
    <row r="71" spans="3:3" x14ac:dyDescent="0.2">
      <c r="C71" s="419"/>
    </row>
    <row r="72" spans="3:3" x14ac:dyDescent="0.2">
      <c r="C72" s="419"/>
    </row>
    <row r="73" spans="3:3" x14ac:dyDescent="0.2">
      <c r="C73" s="419"/>
    </row>
    <row r="74" spans="3:3" x14ac:dyDescent="0.2">
      <c r="C74" s="419"/>
    </row>
    <row r="75" spans="3:3" x14ac:dyDescent="0.2">
      <c r="C75" s="419"/>
    </row>
    <row r="76" spans="3:3" x14ac:dyDescent="0.2">
      <c r="C76" s="419"/>
    </row>
    <row r="77" spans="3:3" x14ac:dyDescent="0.2">
      <c r="C77" s="419"/>
    </row>
    <row r="78" spans="3:3" x14ac:dyDescent="0.2">
      <c r="C78" s="419"/>
    </row>
    <row r="79" spans="3:3" x14ac:dyDescent="0.2">
      <c r="C79" s="419"/>
    </row>
    <row r="80" spans="3:3" x14ac:dyDescent="0.2">
      <c r="C80" s="419"/>
    </row>
    <row r="81" spans="3:3" x14ac:dyDescent="0.2">
      <c r="C81" s="419"/>
    </row>
    <row r="82" spans="3:3" x14ac:dyDescent="0.2">
      <c r="C82" s="419"/>
    </row>
    <row r="83" spans="3:3" x14ac:dyDescent="0.2">
      <c r="C83" s="419"/>
    </row>
    <row r="84" spans="3:3" x14ac:dyDescent="0.2">
      <c r="C84" s="419"/>
    </row>
    <row r="85" spans="3:3" x14ac:dyDescent="0.2">
      <c r="C85" s="419"/>
    </row>
    <row r="86" spans="3:3" x14ac:dyDescent="0.2">
      <c r="C86" s="419"/>
    </row>
    <row r="87" spans="3:3" x14ac:dyDescent="0.2">
      <c r="C87" s="419"/>
    </row>
    <row r="88" spans="3:3" x14ac:dyDescent="0.2">
      <c r="C88" s="419"/>
    </row>
    <row r="89" spans="3:3" x14ac:dyDescent="0.2">
      <c r="C89" s="419"/>
    </row>
    <row r="90" spans="3:3" x14ac:dyDescent="0.2">
      <c r="C90" s="419"/>
    </row>
    <row r="91" spans="3:3" x14ac:dyDescent="0.2">
      <c r="C91" s="419"/>
    </row>
    <row r="92" spans="3:3" x14ac:dyDescent="0.2">
      <c r="C92" s="419"/>
    </row>
    <row r="93" spans="3:3" x14ac:dyDescent="0.2">
      <c r="C93" s="419"/>
    </row>
    <row r="94" spans="3:3" x14ac:dyDescent="0.2">
      <c r="C94" s="419"/>
    </row>
    <row r="95" spans="3:3" x14ac:dyDescent="0.2">
      <c r="C95" s="419"/>
    </row>
    <row r="96" spans="3:3" x14ac:dyDescent="0.2">
      <c r="C96" s="419"/>
    </row>
    <row r="97" spans="3:3" x14ac:dyDescent="0.2">
      <c r="C97" s="413"/>
    </row>
    <row r="98" spans="3:3" x14ac:dyDescent="0.2">
      <c r="C98" s="419"/>
    </row>
  </sheetData>
  <mergeCells count="2">
    <mergeCell ref="D1:Y1"/>
    <mergeCell ref="A3:A10"/>
  </mergeCells>
  <conditionalFormatting sqref="D3:Q10">
    <cfRule type="cellIs" dxfId="7" priority="2" operator="equal">
      <formula>""</formula>
    </cfRule>
  </conditionalFormatting>
  <conditionalFormatting sqref="R3:Y10">
    <cfRule type="cellIs" dxfId="6" priority="1" operator="equal">
      <formula>""</formula>
    </cfRule>
  </conditionalFormatting>
  <hyperlinks>
    <hyperlink ref="C1" location="Inventory!A1" display="Inventory"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101"/>
  <sheetViews>
    <sheetView showGridLines="0" zoomScale="80" zoomScaleNormal="80" workbookViewId="0">
      <selection activeCell="C1" sqref="C1"/>
    </sheetView>
  </sheetViews>
  <sheetFormatPr defaultRowHeight="12.75" x14ac:dyDescent="0.2"/>
  <cols>
    <col min="1" max="1" width="9.140625" style="410"/>
    <col min="2" max="2" width="17.140625" style="410" bestFit="1" customWidth="1"/>
    <col min="3" max="3" width="50.7109375" style="420" customWidth="1"/>
    <col min="4" max="4" width="5.7109375" style="410" customWidth="1"/>
    <col min="5" max="5" width="5.7109375" style="416" customWidth="1"/>
    <col min="6" max="7" width="5.7109375" style="417" customWidth="1"/>
    <col min="8" max="8" width="5.7109375" style="412" customWidth="1"/>
    <col min="9" max="9" width="5.7109375" style="410" customWidth="1"/>
    <col min="10" max="10" width="5.7109375" style="412" customWidth="1"/>
    <col min="11" max="19" width="5.7109375" style="410" customWidth="1"/>
    <col min="20" max="20" width="5.7109375" style="416" customWidth="1"/>
    <col min="21" max="25" width="5.7109375" style="410" customWidth="1"/>
    <col min="26" max="26" width="15.7109375" style="410" customWidth="1"/>
    <col min="27" max="30" width="3.5703125" style="410" bestFit="1" customWidth="1"/>
    <col min="31" max="16384" width="9.140625" style="410"/>
  </cols>
  <sheetData>
    <row r="1" spans="1:31" s="249" customFormat="1" ht="18.75" x14ac:dyDescent="0.25">
      <c r="A1" s="406" t="s">
        <v>3</v>
      </c>
      <c r="B1" s="407">
        <v>44409</v>
      </c>
      <c r="C1" s="409" t="s">
        <v>62</v>
      </c>
      <c r="D1" s="805" t="s">
        <v>297</v>
      </c>
      <c r="E1" s="805"/>
      <c r="F1" s="805"/>
      <c r="G1" s="805"/>
      <c r="H1" s="805"/>
      <c r="I1" s="805"/>
      <c r="J1" s="805"/>
      <c r="K1" s="805"/>
      <c r="L1" s="805"/>
      <c r="M1" s="805"/>
      <c r="N1" s="805"/>
      <c r="O1" s="805"/>
      <c r="P1" s="805"/>
      <c r="Q1" s="805"/>
      <c r="R1" s="805"/>
      <c r="S1" s="805"/>
      <c r="T1" s="805"/>
      <c r="U1" s="805"/>
      <c r="V1" s="805"/>
      <c r="W1" s="805"/>
      <c r="X1" s="805"/>
      <c r="Y1" s="805"/>
      <c r="Z1" s="408"/>
      <c r="AA1" s="408"/>
      <c r="AB1" s="408"/>
      <c r="AC1" s="408"/>
      <c r="AD1" s="408"/>
      <c r="AE1" s="408"/>
    </row>
    <row r="2" spans="1:31" ht="393" customHeight="1" thickBot="1" x14ac:dyDescent="0.25">
      <c r="B2" s="699"/>
      <c r="C2" s="700" t="s">
        <v>326</v>
      </c>
      <c r="D2" s="701" t="s">
        <v>225</v>
      </c>
      <c r="E2" s="702" t="s">
        <v>226</v>
      </c>
      <c r="F2" s="701" t="s">
        <v>144</v>
      </c>
      <c r="G2" s="702" t="s">
        <v>145</v>
      </c>
      <c r="H2" s="701" t="s">
        <v>146</v>
      </c>
      <c r="I2" s="702" t="s">
        <v>147</v>
      </c>
      <c r="J2" s="701" t="s">
        <v>148</v>
      </c>
      <c r="K2" s="702" t="s">
        <v>149</v>
      </c>
      <c r="L2" s="701" t="s">
        <v>150</v>
      </c>
      <c r="M2" s="702" t="s">
        <v>151</v>
      </c>
      <c r="N2" s="701" t="s">
        <v>152</v>
      </c>
      <c r="O2" s="702" t="s">
        <v>153</v>
      </c>
      <c r="P2" s="701" t="s">
        <v>155</v>
      </c>
      <c r="Q2" s="702" t="s">
        <v>156</v>
      </c>
      <c r="R2" s="701" t="s">
        <v>157</v>
      </c>
      <c r="S2" s="702" t="s">
        <v>158</v>
      </c>
      <c r="T2" s="701" t="s">
        <v>159</v>
      </c>
      <c r="U2" s="702" t="s">
        <v>160</v>
      </c>
      <c r="V2" s="701" t="s">
        <v>161</v>
      </c>
      <c r="W2" s="702" t="s">
        <v>162</v>
      </c>
      <c r="X2" s="701" t="s">
        <v>163</v>
      </c>
      <c r="Y2" s="702" t="s">
        <v>164</v>
      </c>
      <c r="Z2" s="411"/>
      <c r="AA2" s="411"/>
      <c r="AB2" s="411"/>
      <c r="AC2" s="411"/>
      <c r="AD2" s="412"/>
    </row>
    <row r="3" spans="1:31" ht="17.25" customHeight="1" x14ac:dyDescent="0.2">
      <c r="A3" s="809" t="s">
        <v>299</v>
      </c>
      <c r="B3" s="703" t="s">
        <v>300</v>
      </c>
      <c r="C3" s="704" t="s">
        <v>301</v>
      </c>
      <c r="D3" s="705" t="s">
        <v>216</v>
      </c>
      <c r="E3" s="705" t="s">
        <v>216</v>
      </c>
      <c r="F3" s="705"/>
      <c r="G3" s="705"/>
      <c r="H3" s="705"/>
      <c r="I3" s="705"/>
      <c r="J3" s="705"/>
      <c r="K3" s="705"/>
      <c r="L3" s="705"/>
      <c r="M3" s="705"/>
      <c r="N3" s="705" t="s">
        <v>216</v>
      </c>
      <c r="O3" s="705" t="s">
        <v>216</v>
      </c>
      <c r="P3" s="705"/>
      <c r="Q3" s="705"/>
      <c r="R3" s="705"/>
      <c r="S3" s="705"/>
      <c r="T3" s="705"/>
      <c r="U3" s="705"/>
      <c r="V3" s="705"/>
      <c r="W3" s="705"/>
      <c r="X3" s="705"/>
      <c r="Y3" s="706"/>
    </row>
    <row r="4" spans="1:31" ht="17.25" customHeight="1" x14ac:dyDescent="0.2">
      <c r="A4" s="810"/>
      <c r="B4" s="707" t="s">
        <v>302</v>
      </c>
      <c r="C4" s="708" t="s">
        <v>303</v>
      </c>
      <c r="D4" s="709" t="s">
        <v>216</v>
      </c>
      <c r="E4" s="709" t="s">
        <v>216</v>
      </c>
      <c r="F4" s="709" t="s">
        <v>216</v>
      </c>
      <c r="G4" s="709"/>
      <c r="H4" s="709" t="s">
        <v>216</v>
      </c>
      <c r="I4" s="709" t="s">
        <v>216</v>
      </c>
      <c r="J4" s="709" t="s">
        <v>216</v>
      </c>
      <c r="K4" s="709" t="s">
        <v>216</v>
      </c>
      <c r="L4" s="709"/>
      <c r="M4" s="709" t="s">
        <v>216</v>
      </c>
      <c r="N4" s="709"/>
      <c r="O4" s="709" t="s">
        <v>216</v>
      </c>
      <c r="P4" s="709" t="s">
        <v>216</v>
      </c>
      <c r="Q4" s="709" t="s">
        <v>216</v>
      </c>
      <c r="R4" s="709" t="s">
        <v>216</v>
      </c>
      <c r="S4" s="709" t="s">
        <v>216</v>
      </c>
      <c r="T4" s="709" t="s">
        <v>216</v>
      </c>
      <c r="U4" s="709" t="s">
        <v>216</v>
      </c>
      <c r="V4" s="709" t="s">
        <v>216</v>
      </c>
      <c r="W4" s="709" t="s">
        <v>216</v>
      </c>
      <c r="X4" s="709"/>
      <c r="Y4" s="710"/>
    </row>
    <row r="5" spans="1:31" ht="17.25" customHeight="1" x14ac:dyDescent="0.2">
      <c r="A5" s="810"/>
      <c r="B5" s="707" t="s">
        <v>304</v>
      </c>
      <c r="C5" s="708" t="s">
        <v>305</v>
      </c>
      <c r="D5" s="709" t="s">
        <v>216</v>
      </c>
      <c r="E5" s="709" t="s">
        <v>216</v>
      </c>
      <c r="F5" s="709" t="s">
        <v>216</v>
      </c>
      <c r="G5" s="709"/>
      <c r="H5" s="709" t="s">
        <v>216</v>
      </c>
      <c r="I5" s="709" t="s">
        <v>216</v>
      </c>
      <c r="J5" s="709"/>
      <c r="K5" s="709"/>
      <c r="L5" s="709"/>
      <c r="M5" s="709"/>
      <c r="N5" s="709"/>
      <c r="O5" s="709" t="s">
        <v>216</v>
      </c>
      <c r="P5" s="709"/>
      <c r="Q5" s="709"/>
      <c r="R5" s="709"/>
      <c r="S5" s="709"/>
      <c r="T5" s="709"/>
      <c r="U5" s="709"/>
      <c r="V5" s="709" t="s">
        <v>216</v>
      </c>
      <c r="W5" s="709" t="s">
        <v>216</v>
      </c>
      <c r="X5" s="709"/>
      <c r="Y5" s="710"/>
    </row>
    <row r="6" spans="1:31" ht="17.25" customHeight="1" x14ac:dyDescent="0.2">
      <c r="A6" s="810"/>
      <c r="B6" s="707" t="s">
        <v>306</v>
      </c>
      <c r="C6" s="708" t="s">
        <v>307</v>
      </c>
      <c r="D6" s="709" t="s">
        <v>216</v>
      </c>
      <c r="E6" s="709" t="s">
        <v>216</v>
      </c>
      <c r="F6" s="709" t="s">
        <v>216</v>
      </c>
      <c r="G6" s="709"/>
      <c r="H6" s="709" t="s">
        <v>216</v>
      </c>
      <c r="I6" s="709" t="s">
        <v>216</v>
      </c>
      <c r="J6" s="709"/>
      <c r="K6" s="709"/>
      <c r="L6" s="709"/>
      <c r="M6" s="709"/>
      <c r="N6" s="709"/>
      <c r="O6" s="709" t="s">
        <v>216</v>
      </c>
      <c r="P6" s="709"/>
      <c r="Q6" s="709"/>
      <c r="R6" s="709"/>
      <c r="S6" s="709"/>
      <c r="T6" s="709"/>
      <c r="U6" s="709"/>
      <c r="V6" s="709" t="s">
        <v>216</v>
      </c>
      <c r="W6" s="709" t="s">
        <v>216</v>
      </c>
      <c r="X6" s="709"/>
      <c r="Y6" s="710"/>
    </row>
    <row r="7" spans="1:31" ht="17.25" customHeight="1" x14ac:dyDescent="0.2">
      <c r="A7" s="810"/>
      <c r="B7" s="707" t="s">
        <v>308</v>
      </c>
      <c r="C7" s="708" t="s">
        <v>309</v>
      </c>
      <c r="D7" s="709" t="s">
        <v>216</v>
      </c>
      <c r="E7" s="709" t="s">
        <v>216</v>
      </c>
      <c r="F7" s="709"/>
      <c r="G7" s="709"/>
      <c r="H7" s="709" t="s">
        <v>216</v>
      </c>
      <c r="I7" s="709" t="s">
        <v>216</v>
      </c>
      <c r="J7" s="709"/>
      <c r="K7" s="709"/>
      <c r="L7" s="709"/>
      <c r="M7" s="709" t="s">
        <v>216</v>
      </c>
      <c r="N7" s="709"/>
      <c r="O7" s="709" t="s">
        <v>216</v>
      </c>
      <c r="P7" s="709" t="s">
        <v>216</v>
      </c>
      <c r="Q7" s="709" t="s">
        <v>216</v>
      </c>
      <c r="R7" s="709" t="s">
        <v>216</v>
      </c>
      <c r="S7" s="709" t="s">
        <v>216</v>
      </c>
      <c r="T7" s="709" t="s">
        <v>216</v>
      </c>
      <c r="U7" s="709" t="s">
        <v>216</v>
      </c>
      <c r="V7" s="709" t="s">
        <v>216</v>
      </c>
      <c r="W7" s="709" t="s">
        <v>216</v>
      </c>
      <c r="X7" s="709"/>
      <c r="Y7" s="710"/>
    </row>
    <row r="8" spans="1:31" ht="17.25" customHeight="1" x14ac:dyDescent="0.2">
      <c r="A8" s="810"/>
      <c r="B8" s="707" t="s">
        <v>310</v>
      </c>
      <c r="C8" s="708" t="s">
        <v>311</v>
      </c>
      <c r="D8" s="709" t="s">
        <v>216</v>
      </c>
      <c r="E8" s="709" t="s">
        <v>216</v>
      </c>
      <c r="F8" s="709"/>
      <c r="G8" s="709"/>
      <c r="H8" s="709" t="s">
        <v>216</v>
      </c>
      <c r="I8" s="709" t="s">
        <v>216</v>
      </c>
      <c r="J8" s="709"/>
      <c r="K8" s="709"/>
      <c r="L8" s="709"/>
      <c r="M8" s="709" t="s">
        <v>216</v>
      </c>
      <c r="N8" s="709"/>
      <c r="O8" s="709" t="s">
        <v>216</v>
      </c>
      <c r="P8" s="709" t="s">
        <v>216</v>
      </c>
      <c r="Q8" s="709" t="s">
        <v>216</v>
      </c>
      <c r="R8" s="709" t="s">
        <v>216</v>
      </c>
      <c r="S8" s="709" t="s">
        <v>216</v>
      </c>
      <c r="T8" s="709" t="s">
        <v>216</v>
      </c>
      <c r="U8" s="709" t="s">
        <v>216</v>
      </c>
      <c r="V8" s="709" t="s">
        <v>216</v>
      </c>
      <c r="W8" s="709" t="s">
        <v>216</v>
      </c>
      <c r="X8" s="709"/>
      <c r="Y8" s="710"/>
    </row>
    <row r="9" spans="1:31" ht="17.25" customHeight="1" x14ac:dyDescent="0.2">
      <c r="A9" s="810"/>
      <c r="B9" s="707" t="s">
        <v>312</v>
      </c>
      <c r="C9" s="708" t="s">
        <v>313</v>
      </c>
      <c r="D9" s="709" t="s">
        <v>216</v>
      </c>
      <c r="E9" s="709" t="s">
        <v>216</v>
      </c>
      <c r="F9" s="709" t="s">
        <v>216</v>
      </c>
      <c r="G9" s="709"/>
      <c r="H9" s="709"/>
      <c r="I9" s="709"/>
      <c r="J9" s="709"/>
      <c r="K9" s="709"/>
      <c r="L9" s="709"/>
      <c r="M9" s="709"/>
      <c r="N9" s="709"/>
      <c r="O9" s="709" t="s">
        <v>216</v>
      </c>
      <c r="P9" s="709"/>
      <c r="Q9" s="709"/>
      <c r="R9" s="709"/>
      <c r="S9" s="709"/>
      <c r="T9" s="709"/>
      <c r="U9" s="709"/>
      <c r="V9" s="709"/>
      <c r="W9" s="709"/>
      <c r="X9" s="709"/>
      <c r="Y9" s="710"/>
    </row>
    <row r="10" spans="1:31" ht="17.25" customHeight="1" x14ac:dyDescent="0.2">
      <c r="A10" s="810"/>
      <c r="B10" s="707" t="s">
        <v>314</v>
      </c>
      <c r="C10" s="708" t="s">
        <v>315</v>
      </c>
      <c r="D10" s="709" t="s">
        <v>216</v>
      </c>
      <c r="E10" s="709" t="s">
        <v>216</v>
      </c>
      <c r="F10" s="709"/>
      <c r="G10" s="709"/>
      <c r="H10" s="709"/>
      <c r="I10" s="709"/>
      <c r="J10" s="709" t="s">
        <v>216</v>
      </c>
      <c r="K10" s="709" t="s">
        <v>216</v>
      </c>
      <c r="L10" s="709"/>
      <c r="M10" s="709"/>
      <c r="N10" s="709"/>
      <c r="O10" s="709" t="s">
        <v>216</v>
      </c>
      <c r="P10" s="709"/>
      <c r="Q10" s="709"/>
      <c r="R10" s="709"/>
      <c r="S10" s="709"/>
      <c r="T10" s="709"/>
      <c r="U10" s="709"/>
      <c r="V10" s="709"/>
      <c r="W10" s="709"/>
      <c r="X10" s="709"/>
      <c r="Y10" s="710"/>
    </row>
    <row r="11" spans="1:31" ht="17.25" customHeight="1" thickBot="1" x14ac:dyDescent="0.25">
      <c r="A11" s="811"/>
      <c r="B11" s="711" t="s">
        <v>316</v>
      </c>
      <c r="C11" s="715" t="s">
        <v>317</v>
      </c>
      <c r="D11" s="713" t="s">
        <v>216</v>
      </c>
      <c r="E11" s="713" t="s">
        <v>216</v>
      </c>
      <c r="F11" s="713"/>
      <c r="G11" s="713"/>
      <c r="H11" s="713"/>
      <c r="I11" s="713"/>
      <c r="J11" s="713" t="s">
        <v>216</v>
      </c>
      <c r="K11" s="713" t="s">
        <v>216</v>
      </c>
      <c r="L11" s="713"/>
      <c r="M11" s="713"/>
      <c r="N11" s="713"/>
      <c r="O11" s="713" t="s">
        <v>216</v>
      </c>
      <c r="P11" s="713"/>
      <c r="Q11" s="713"/>
      <c r="R11" s="713"/>
      <c r="S11" s="713"/>
      <c r="T11" s="713"/>
      <c r="U11" s="713"/>
      <c r="V11" s="713"/>
      <c r="W11" s="713"/>
      <c r="X11" s="713"/>
      <c r="Y11" s="714"/>
    </row>
    <row r="12" spans="1:31" ht="15" x14ac:dyDescent="0.25">
      <c r="C12" s="413"/>
      <c r="E12" s="414"/>
      <c r="F12" s="410"/>
      <c r="G12" s="410"/>
      <c r="K12" s="415"/>
    </row>
    <row r="13" spans="1:31" ht="15" x14ac:dyDescent="0.25">
      <c r="C13" s="413"/>
      <c r="K13" s="415"/>
    </row>
    <row r="14" spans="1:31" ht="15" x14ac:dyDescent="0.25">
      <c r="C14" s="413"/>
      <c r="K14" s="415"/>
    </row>
    <row r="15" spans="1:31" ht="15" x14ac:dyDescent="0.25">
      <c r="C15" s="413"/>
      <c r="K15" s="415"/>
    </row>
    <row r="16" spans="1:31" ht="15" x14ac:dyDescent="0.25">
      <c r="C16" s="413"/>
      <c r="K16" s="415"/>
    </row>
    <row r="17" spans="3:11" x14ac:dyDescent="0.2">
      <c r="C17" s="413"/>
      <c r="K17" s="418"/>
    </row>
    <row r="18" spans="3:11" ht="15" x14ac:dyDescent="0.25">
      <c r="C18" s="413"/>
      <c r="K18" s="415"/>
    </row>
    <row r="19" spans="3:11" ht="15" x14ac:dyDescent="0.25">
      <c r="C19" s="413"/>
      <c r="K19" s="415"/>
    </row>
    <row r="20" spans="3:11" ht="15" x14ac:dyDescent="0.25">
      <c r="C20" s="413"/>
      <c r="K20" s="415"/>
    </row>
    <row r="21" spans="3:11" ht="15" x14ac:dyDescent="0.25">
      <c r="C21" s="413"/>
      <c r="K21" s="415"/>
    </row>
    <row r="22" spans="3:11" ht="15" x14ac:dyDescent="0.25">
      <c r="C22" s="413"/>
      <c r="K22" s="415"/>
    </row>
    <row r="23" spans="3:11" x14ac:dyDescent="0.2">
      <c r="C23" s="413"/>
      <c r="K23" s="418"/>
    </row>
    <row r="24" spans="3:11" x14ac:dyDescent="0.2">
      <c r="C24" s="413"/>
      <c r="K24" s="418"/>
    </row>
    <row r="25" spans="3:11" x14ac:dyDescent="0.2">
      <c r="C25" s="419"/>
    </row>
    <row r="26" spans="3:11" x14ac:dyDescent="0.2">
      <c r="C26" s="413"/>
      <c r="K26" s="418"/>
    </row>
    <row r="27" spans="3:11" x14ac:dyDescent="0.2">
      <c r="C27" s="413"/>
      <c r="K27" s="418"/>
    </row>
    <row r="28" spans="3:11" x14ac:dyDescent="0.2">
      <c r="C28" s="413"/>
      <c r="K28" s="418"/>
    </row>
    <row r="29" spans="3:11" x14ac:dyDescent="0.2">
      <c r="C29" s="413"/>
      <c r="K29" s="418"/>
    </row>
    <row r="30" spans="3:11" x14ac:dyDescent="0.2">
      <c r="C30" s="413"/>
      <c r="K30" s="418"/>
    </row>
    <row r="31" spans="3:11" x14ac:dyDescent="0.2">
      <c r="C31" s="413"/>
      <c r="K31" s="418"/>
    </row>
    <row r="32" spans="3:11" x14ac:dyDescent="0.2">
      <c r="C32" s="413"/>
      <c r="K32" s="418"/>
    </row>
    <row r="33" spans="3:11" x14ac:dyDescent="0.2">
      <c r="C33" s="413"/>
      <c r="K33" s="418"/>
    </row>
    <row r="34" spans="3:11" ht="15" x14ac:dyDescent="0.25">
      <c r="C34" s="413"/>
      <c r="K34" s="415"/>
    </row>
    <row r="35" spans="3:11" x14ac:dyDescent="0.2">
      <c r="C35" s="413"/>
      <c r="K35" s="418"/>
    </row>
    <row r="36" spans="3:11" x14ac:dyDescent="0.2">
      <c r="C36" s="413"/>
      <c r="K36" s="418"/>
    </row>
    <row r="37" spans="3:11" ht="15" x14ac:dyDescent="0.25">
      <c r="C37" s="413"/>
      <c r="K37" s="415"/>
    </row>
    <row r="38" spans="3:11" ht="15" x14ac:dyDescent="0.25">
      <c r="C38" s="413"/>
      <c r="K38" s="415"/>
    </row>
    <row r="39" spans="3:11" x14ac:dyDescent="0.2">
      <c r="C39" s="413"/>
      <c r="K39" s="418"/>
    </row>
    <row r="40" spans="3:11" x14ac:dyDescent="0.2">
      <c r="C40" s="413"/>
      <c r="K40" s="418"/>
    </row>
    <row r="41" spans="3:11" x14ac:dyDescent="0.2">
      <c r="C41" s="419"/>
    </row>
    <row r="42" spans="3:11" x14ac:dyDescent="0.2">
      <c r="C42" s="413"/>
      <c r="K42" s="418"/>
    </row>
    <row r="43" spans="3:11" ht="15" x14ac:dyDescent="0.25">
      <c r="C43" s="413"/>
      <c r="K43" s="415"/>
    </row>
    <row r="44" spans="3:11" x14ac:dyDescent="0.2">
      <c r="C44" s="413"/>
      <c r="K44" s="418"/>
    </row>
    <row r="45" spans="3:11" x14ac:dyDescent="0.2">
      <c r="C45" s="419"/>
    </row>
    <row r="46" spans="3:11" x14ac:dyDescent="0.2">
      <c r="C46" s="413"/>
      <c r="K46" s="418"/>
    </row>
    <row r="47" spans="3:11" ht="15" x14ac:dyDescent="0.25">
      <c r="C47" s="413"/>
      <c r="K47" s="415"/>
    </row>
    <row r="48" spans="3:11" ht="15" x14ac:dyDescent="0.25">
      <c r="C48" s="413"/>
      <c r="K48" s="415"/>
    </row>
    <row r="49" spans="3:11" x14ac:dyDescent="0.2">
      <c r="C49" s="413"/>
      <c r="K49" s="418"/>
    </row>
    <row r="50" spans="3:11" x14ac:dyDescent="0.2">
      <c r="C50" s="413"/>
      <c r="K50" s="418"/>
    </row>
    <row r="51" spans="3:11" x14ac:dyDescent="0.2">
      <c r="C51" s="413"/>
      <c r="K51" s="418"/>
    </row>
    <row r="52" spans="3:11" x14ac:dyDescent="0.2">
      <c r="C52" s="413"/>
      <c r="K52" s="418"/>
    </row>
    <row r="53" spans="3:11" ht="15" x14ac:dyDescent="0.25">
      <c r="C53" s="413"/>
      <c r="K53" s="415"/>
    </row>
    <row r="54" spans="3:11" ht="15" x14ac:dyDescent="0.25">
      <c r="C54" s="413"/>
      <c r="K54" s="415"/>
    </row>
    <row r="55" spans="3:11" x14ac:dyDescent="0.2">
      <c r="C55" s="413"/>
      <c r="K55" s="418"/>
    </row>
    <row r="56" spans="3:11" x14ac:dyDescent="0.2">
      <c r="C56" s="413"/>
      <c r="K56" s="418"/>
    </row>
    <row r="57" spans="3:11" x14ac:dyDescent="0.2">
      <c r="C57" s="413"/>
      <c r="K57" s="418"/>
    </row>
    <row r="58" spans="3:11" x14ac:dyDescent="0.2">
      <c r="C58" s="419"/>
    </row>
    <row r="59" spans="3:11" x14ac:dyDescent="0.2">
      <c r="C59" s="419"/>
    </row>
    <row r="60" spans="3:11" x14ac:dyDescent="0.2">
      <c r="C60" s="419"/>
    </row>
    <row r="61" spans="3:11" x14ac:dyDescent="0.2">
      <c r="C61" s="419"/>
    </row>
    <row r="62" spans="3:11" x14ac:dyDescent="0.2">
      <c r="C62" s="419"/>
    </row>
    <row r="63" spans="3:11" x14ac:dyDescent="0.2">
      <c r="C63" s="419"/>
    </row>
    <row r="64" spans="3:11" x14ac:dyDescent="0.2">
      <c r="C64" s="419"/>
    </row>
    <row r="65" spans="3:3" x14ac:dyDescent="0.2">
      <c r="C65" s="419"/>
    </row>
    <row r="66" spans="3:3" x14ac:dyDescent="0.2">
      <c r="C66" s="419"/>
    </row>
    <row r="67" spans="3:3" x14ac:dyDescent="0.2">
      <c r="C67" s="419"/>
    </row>
    <row r="68" spans="3:3" x14ac:dyDescent="0.2">
      <c r="C68" s="419"/>
    </row>
    <row r="69" spans="3:3" x14ac:dyDescent="0.2">
      <c r="C69" s="419"/>
    </row>
    <row r="70" spans="3:3" x14ac:dyDescent="0.2">
      <c r="C70" s="419"/>
    </row>
    <row r="71" spans="3:3" x14ac:dyDescent="0.2">
      <c r="C71" s="419"/>
    </row>
    <row r="72" spans="3:3" x14ac:dyDescent="0.2">
      <c r="C72" s="419"/>
    </row>
    <row r="73" spans="3:3" x14ac:dyDescent="0.2">
      <c r="C73" s="419"/>
    </row>
    <row r="74" spans="3:3" x14ac:dyDescent="0.2">
      <c r="C74" s="419"/>
    </row>
    <row r="75" spans="3:3" x14ac:dyDescent="0.2">
      <c r="C75" s="419"/>
    </row>
    <row r="76" spans="3:3" x14ac:dyDescent="0.2">
      <c r="C76" s="419"/>
    </row>
    <row r="77" spans="3:3" x14ac:dyDescent="0.2">
      <c r="C77" s="419"/>
    </row>
    <row r="78" spans="3:3" x14ac:dyDescent="0.2">
      <c r="C78" s="419"/>
    </row>
    <row r="79" spans="3:3" x14ac:dyDescent="0.2">
      <c r="C79" s="419"/>
    </row>
    <row r="80" spans="3:3" x14ac:dyDescent="0.2">
      <c r="C80" s="419"/>
    </row>
    <row r="81" spans="3:3" x14ac:dyDescent="0.2">
      <c r="C81" s="419"/>
    </row>
    <row r="82" spans="3:3" x14ac:dyDescent="0.2">
      <c r="C82" s="419"/>
    </row>
    <row r="83" spans="3:3" x14ac:dyDescent="0.2">
      <c r="C83" s="419"/>
    </row>
    <row r="84" spans="3:3" x14ac:dyDescent="0.2">
      <c r="C84" s="419"/>
    </row>
    <row r="85" spans="3:3" x14ac:dyDescent="0.2">
      <c r="C85" s="419"/>
    </row>
    <row r="86" spans="3:3" x14ac:dyDescent="0.2">
      <c r="C86" s="419"/>
    </row>
    <row r="87" spans="3:3" x14ac:dyDescent="0.2">
      <c r="C87" s="419"/>
    </row>
    <row r="88" spans="3:3" x14ac:dyDescent="0.2">
      <c r="C88" s="419"/>
    </row>
    <row r="89" spans="3:3" x14ac:dyDescent="0.2">
      <c r="C89" s="419"/>
    </row>
    <row r="90" spans="3:3" x14ac:dyDescent="0.2">
      <c r="C90" s="419"/>
    </row>
    <row r="91" spans="3:3" x14ac:dyDescent="0.2">
      <c r="C91" s="419"/>
    </row>
    <row r="92" spans="3:3" x14ac:dyDescent="0.2">
      <c r="C92" s="419"/>
    </row>
    <row r="93" spans="3:3" x14ac:dyDescent="0.2">
      <c r="C93" s="419"/>
    </row>
    <row r="94" spans="3:3" x14ac:dyDescent="0.2">
      <c r="C94" s="419"/>
    </row>
    <row r="95" spans="3:3" x14ac:dyDescent="0.2">
      <c r="C95" s="419"/>
    </row>
    <row r="96" spans="3:3" x14ac:dyDescent="0.2">
      <c r="C96" s="419"/>
    </row>
    <row r="97" spans="3:3" x14ac:dyDescent="0.2">
      <c r="C97" s="419"/>
    </row>
    <row r="98" spans="3:3" x14ac:dyDescent="0.2">
      <c r="C98" s="419"/>
    </row>
    <row r="99" spans="3:3" x14ac:dyDescent="0.2">
      <c r="C99" s="419"/>
    </row>
    <row r="100" spans="3:3" x14ac:dyDescent="0.2">
      <c r="C100" s="413"/>
    </row>
    <row r="101" spans="3:3" x14ac:dyDescent="0.2">
      <c r="C101" s="419"/>
    </row>
  </sheetData>
  <mergeCells count="2">
    <mergeCell ref="D1:Y1"/>
    <mergeCell ref="A3:A11"/>
  </mergeCells>
  <conditionalFormatting sqref="D3:Q11">
    <cfRule type="cellIs" dxfId="5" priority="2" operator="equal">
      <formula>""</formula>
    </cfRule>
  </conditionalFormatting>
  <conditionalFormatting sqref="R3:Y11">
    <cfRule type="cellIs" dxfId="4" priority="1" operator="equal">
      <formula>""</formula>
    </cfRule>
  </conditionalFormatting>
  <hyperlinks>
    <hyperlink ref="C1" location="Inventory!A1" display="Inventory"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98"/>
  <sheetViews>
    <sheetView showGridLines="0" zoomScale="80" zoomScaleNormal="80" workbookViewId="0">
      <selection activeCell="C1" sqref="C1"/>
    </sheetView>
  </sheetViews>
  <sheetFormatPr defaultRowHeight="12.75" x14ac:dyDescent="0.2"/>
  <cols>
    <col min="1" max="1" width="9.140625" style="410"/>
    <col min="2" max="2" width="17.140625" style="410" bestFit="1" customWidth="1"/>
    <col min="3" max="3" width="50.7109375" style="420" customWidth="1"/>
    <col min="4" max="4" width="5.7109375" style="410" customWidth="1"/>
    <col min="5" max="5" width="5.7109375" style="416" customWidth="1"/>
    <col min="6" max="7" width="5.7109375" style="417" customWidth="1"/>
    <col min="8" max="8" width="5.7109375" style="412" customWidth="1"/>
    <col min="9" max="9" width="5.7109375" style="410" customWidth="1"/>
    <col min="10" max="10" width="5.7109375" style="412" customWidth="1"/>
    <col min="11" max="19" width="5.7109375" style="410" customWidth="1"/>
    <col min="20" max="20" width="5.7109375" style="416" customWidth="1"/>
    <col min="21" max="25" width="5.7109375" style="410" customWidth="1"/>
    <col min="26" max="26" width="15.7109375" style="410" customWidth="1"/>
    <col min="27" max="30" width="3.5703125" style="410" bestFit="1" customWidth="1"/>
    <col min="31" max="16384" width="9.140625" style="410"/>
  </cols>
  <sheetData>
    <row r="1" spans="1:31" s="249" customFormat="1" ht="18.75" x14ac:dyDescent="0.25">
      <c r="A1" s="571" t="s">
        <v>3</v>
      </c>
      <c r="B1" s="572">
        <v>44409</v>
      </c>
      <c r="C1" s="409" t="s">
        <v>62</v>
      </c>
      <c r="D1" s="805" t="s">
        <v>297</v>
      </c>
      <c r="E1" s="805"/>
      <c r="F1" s="805"/>
      <c r="G1" s="805"/>
      <c r="H1" s="805"/>
      <c r="I1" s="805"/>
      <c r="J1" s="805"/>
      <c r="K1" s="805"/>
      <c r="L1" s="805"/>
      <c r="M1" s="805"/>
      <c r="N1" s="805"/>
      <c r="O1" s="805"/>
      <c r="P1" s="805"/>
      <c r="Q1" s="805"/>
      <c r="R1" s="805"/>
      <c r="S1" s="805"/>
      <c r="T1" s="805"/>
      <c r="U1" s="805"/>
      <c r="V1" s="805"/>
      <c r="W1" s="805"/>
      <c r="X1" s="805"/>
      <c r="Y1" s="805"/>
      <c r="Z1" s="408"/>
      <c r="AA1" s="408"/>
      <c r="AB1" s="408"/>
      <c r="AC1" s="408"/>
      <c r="AD1" s="408"/>
      <c r="AE1" s="408"/>
    </row>
    <row r="2" spans="1:31" ht="393" customHeight="1" thickBot="1" x14ac:dyDescent="0.25">
      <c r="A2" s="698"/>
      <c r="B2" s="699"/>
      <c r="C2" s="700" t="s">
        <v>327</v>
      </c>
      <c r="D2" s="701" t="s">
        <v>225</v>
      </c>
      <c r="E2" s="702" t="s">
        <v>226</v>
      </c>
      <c r="F2" s="701" t="s">
        <v>144</v>
      </c>
      <c r="G2" s="702" t="s">
        <v>145</v>
      </c>
      <c r="H2" s="701" t="s">
        <v>146</v>
      </c>
      <c r="I2" s="702" t="s">
        <v>147</v>
      </c>
      <c r="J2" s="701" t="s">
        <v>148</v>
      </c>
      <c r="K2" s="702" t="s">
        <v>149</v>
      </c>
      <c r="L2" s="701" t="s">
        <v>150</v>
      </c>
      <c r="M2" s="702" t="s">
        <v>151</v>
      </c>
      <c r="N2" s="701" t="s">
        <v>152</v>
      </c>
      <c r="O2" s="702" t="s">
        <v>153</v>
      </c>
      <c r="P2" s="701" t="s">
        <v>155</v>
      </c>
      <c r="Q2" s="702" t="s">
        <v>156</v>
      </c>
      <c r="R2" s="701" t="s">
        <v>157</v>
      </c>
      <c r="S2" s="702" t="s">
        <v>158</v>
      </c>
      <c r="T2" s="701" t="s">
        <v>159</v>
      </c>
      <c r="U2" s="702" t="s">
        <v>160</v>
      </c>
      <c r="V2" s="701" t="s">
        <v>161</v>
      </c>
      <c r="W2" s="702" t="s">
        <v>162</v>
      </c>
      <c r="X2" s="701" t="s">
        <v>163</v>
      </c>
      <c r="Y2" s="702" t="s">
        <v>164</v>
      </c>
      <c r="Z2" s="411"/>
      <c r="AA2" s="411"/>
      <c r="AB2" s="411"/>
      <c r="AC2" s="411"/>
      <c r="AD2" s="412"/>
    </row>
    <row r="3" spans="1:31" ht="17.25" customHeight="1" x14ac:dyDescent="0.2">
      <c r="A3" s="806" t="s">
        <v>299</v>
      </c>
      <c r="B3" s="703" t="s">
        <v>300</v>
      </c>
      <c r="C3" s="704" t="s">
        <v>301</v>
      </c>
      <c r="D3" s="705" t="s">
        <v>216</v>
      </c>
      <c r="E3" s="705" t="s">
        <v>216</v>
      </c>
      <c r="F3" s="705"/>
      <c r="G3" s="705"/>
      <c r="H3" s="705"/>
      <c r="I3" s="705"/>
      <c r="J3" s="705"/>
      <c r="K3" s="705"/>
      <c r="L3" s="705"/>
      <c r="M3" s="705"/>
      <c r="N3" s="705" t="s">
        <v>216</v>
      </c>
      <c r="O3" s="705" t="s">
        <v>216</v>
      </c>
      <c r="P3" s="705"/>
      <c r="Q3" s="705"/>
      <c r="R3" s="705"/>
      <c r="S3" s="705"/>
      <c r="T3" s="705"/>
      <c r="U3" s="705"/>
      <c r="V3" s="705"/>
      <c r="W3" s="705"/>
      <c r="X3" s="705"/>
      <c r="Y3" s="706"/>
    </row>
    <row r="4" spans="1:31" ht="17.25" customHeight="1" x14ac:dyDescent="0.2">
      <c r="A4" s="807"/>
      <c r="B4" s="707" t="s">
        <v>304</v>
      </c>
      <c r="C4" s="708" t="s">
        <v>305</v>
      </c>
      <c r="D4" s="709" t="s">
        <v>216</v>
      </c>
      <c r="E4" s="709" t="s">
        <v>216</v>
      </c>
      <c r="F4" s="709" t="s">
        <v>216</v>
      </c>
      <c r="G4" s="709"/>
      <c r="H4" s="709" t="s">
        <v>216</v>
      </c>
      <c r="I4" s="709" t="s">
        <v>216</v>
      </c>
      <c r="J4" s="709"/>
      <c r="K4" s="709"/>
      <c r="L4" s="709"/>
      <c r="M4" s="709"/>
      <c r="N4" s="709"/>
      <c r="O4" s="709" t="s">
        <v>216</v>
      </c>
      <c r="P4" s="709"/>
      <c r="Q4" s="709"/>
      <c r="R4" s="709"/>
      <c r="S4" s="709"/>
      <c r="T4" s="709"/>
      <c r="U4" s="709"/>
      <c r="V4" s="709" t="s">
        <v>216</v>
      </c>
      <c r="W4" s="709" t="s">
        <v>216</v>
      </c>
      <c r="X4" s="709"/>
      <c r="Y4" s="710"/>
    </row>
    <row r="5" spans="1:31" ht="17.25" customHeight="1" x14ac:dyDescent="0.2">
      <c r="A5" s="807"/>
      <c r="B5" s="707" t="s">
        <v>306</v>
      </c>
      <c r="C5" s="708" t="s">
        <v>307</v>
      </c>
      <c r="D5" s="709" t="s">
        <v>216</v>
      </c>
      <c r="E5" s="709" t="s">
        <v>216</v>
      </c>
      <c r="F5" s="709" t="s">
        <v>216</v>
      </c>
      <c r="G5" s="709"/>
      <c r="H5" s="709" t="s">
        <v>216</v>
      </c>
      <c r="I5" s="709" t="s">
        <v>216</v>
      </c>
      <c r="J5" s="709"/>
      <c r="K5" s="709"/>
      <c r="L5" s="709"/>
      <c r="M5" s="709"/>
      <c r="N5" s="709"/>
      <c r="O5" s="709" t="s">
        <v>216</v>
      </c>
      <c r="P5" s="709"/>
      <c r="Q5" s="709"/>
      <c r="R5" s="709"/>
      <c r="S5" s="709"/>
      <c r="T5" s="709"/>
      <c r="U5" s="709"/>
      <c r="V5" s="709" t="s">
        <v>216</v>
      </c>
      <c r="W5" s="709" t="s">
        <v>216</v>
      </c>
      <c r="X5" s="709"/>
      <c r="Y5" s="710"/>
    </row>
    <row r="6" spans="1:31" ht="17.25" customHeight="1" x14ac:dyDescent="0.2">
      <c r="A6" s="807"/>
      <c r="B6" s="707" t="s">
        <v>308</v>
      </c>
      <c r="C6" s="708" t="s">
        <v>309</v>
      </c>
      <c r="D6" s="709" t="s">
        <v>216</v>
      </c>
      <c r="E6" s="709" t="s">
        <v>216</v>
      </c>
      <c r="F6" s="709"/>
      <c r="G6" s="709"/>
      <c r="H6" s="709" t="s">
        <v>216</v>
      </c>
      <c r="I6" s="709" t="s">
        <v>216</v>
      </c>
      <c r="J6" s="709"/>
      <c r="K6" s="709"/>
      <c r="L6" s="709"/>
      <c r="M6" s="709" t="s">
        <v>216</v>
      </c>
      <c r="N6" s="709"/>
      <c r="O6" s="709" t="s">
        <v>216</v>
      </c>
      <c r="P6" s="709" t="s">
        <v>216</v>
      </c>
      <c r="Q6" s="709" t="s">
        <v>216</v>
      </c>
      <c r="R6" s="709" t="s">
        <v>216</v>
      </c>
      <c r="S6" s="709" t="s">
        <v>216</v>
      </c>
      <c r="T6" s="709" t="s">
        <v>216</v>
      </c>
      <c r="U6" s="709" t="s">
        <v>216</v>
      </c>
      <c r="V6" s="709" t="s">
        <v>216</v>
      </c>
      <c r="W6" s="709" t="s">
        <v>216</v>
      </c>
      <c r="X6" s="709"/>
      <c r="Y6" s="710"/>
    </row>
    <row r="7" spans="1:31" ht="17.25" customHeight="1" x14ac:dyDescent="0.2">
      <c r="A7" s="807"/>
      <c r="B7" s="707" t="s">
        <v>310</v>
      </c>
      <c r="C7" s="708" t="s">
        <v>311</v>
      </c>
      <c r="D7" s="709" t="s">
        <v>216</v>
      </c>
      <c r="E7" s="709" t="s">
        <v>216</v>
      </c>
      <c r="F7" s="709"/>
      <c r="G7" s="709"/>
      <c r="H7" s="709" t="s">
        <v>216</v>
      </c>
      <c r="I7" s="709" t="s">
        <v>216</v>
      </c>
      <c r="J7" s="709"/>
      <c r="K7" s="709"/>
      <c r="L7" s="709"/>
      <c r="M7" s="709" t="s">
        <v>216</v>
      </c>
      <c r="N7" s="709"/>
      <c r="O7" s="709" t="s">
        <v>216</v>
      </c>
      <c r="P7" s="709" t="s">
        <v>216</v>
      </c>
      <c r="Q7" s="709" t="s">
        <v>216</v>
      </c>
      <c r="R7" s="709" t="s">
        <v>216</v>
      </c>
      <c r="S7" s="709" t="s">
        <v>216</v>
      </c>
      <c r="T7" s="709" t="s">
        <v>216</v>
      </c>
      <c r="U7" s="709" t="s">
        <v>216</v>
      </c>
      <c r="V7" s="709" t="s">
        <v>216</v>
      </c>
      <c r="W7" s="709" t="s">
        <v>216</v>
      </c>
      <c r="X7" s="709"/>
      <c r="Y7" s="710"/>
    </row>
    <row r="8" spans="1:31" ht="17.25" customHeight="1" x14ac:dyDescent="0.2">
      <c r="A8" s="807"/>
      <c r="B8" s="707" t="s">
        <v>312</v>
      </c>
      <c r="C8" s="708" t="s">
        <v>313</v>
      </c>
      <c r="D8" s="709" t="s">
        <v>216</v>
      </c>
      <c r="E8" s="709" t="s">
        <v>216</v>
      </c>
      <c r="F8" s="709" t="s">
        <v>216</v>
      </c>
      <c r="G8" s="709"/>
      <c r="H8" s="709"/>
      <c r="I8" s="709"/>
      <c r="J8" s="709"/>
      <c r="K8" s="709"/>
      <c r="L8" s="709"/>
      <c r="M8" s="709"/>
      <c r="N8" s="709"/>
      <c r="O8" s="709" t="s">
        <v>216</v>
      </c>
      <c r="P8" s="709"/>
      <c r="Q8" s="709"/>
      <c r="R8" s="709"/>
      <c r="S8" s="709"/>
      <c r="T8" s="709"/>
      <c r="U8" s="709"/>
      <c r="V8" s="709"/>
      <c r="W8" s="709"/>
      <c r="X8" s="709"/>
      <c r="Y8" s="710"/>
    </row>
    <row r="9" spans="1:31" ht="17.25" customHeight="1" x14ac:dyDescent="0.2">
      <c r="A9" s="807"/>
      <c r="B9" s="707" t="s">
        <v>314</v>
      </c>
      <c r="C9" s="708" t="s">
        <v>315</v>
      </c>
      <c r="D9" s="709" t="s">
        <v>216</v>
      </c>
      <c r="E9" s="709" t="s">
        <v>216</v>
      </c>
      <c r="F9" s="709"/>
      <c r="G9" s="709"/>
      <c r="H9" s="709"/>
      <c r="I9" s="709"/>
      <c r="J9" s="709" t="s">
        <v>216</v>
      </c>
      <c r="K9" s="709" t="s">
        <v>216</v>
      </c>
      <c r="L9" s="709"/>
      <c r="M9" s="709"/>
      <c r="N9" s="709"/>
      <c r="O9" s="709" t="s">
        <v>216</v>
      </c>
      <c r="P9" s="709"/>
      <c r="Q9" s="709"/>
      <c r="R9" s="709"/>
      <c r="S9" s="709"/>
      <c r="T9" s="709"/>
      <c r="U9" s="709"/>
      <c r="V9" s="709"/>
      <c r="W9" s="709"/>
      <c r="X9" s="709"/>
      <c r="Y9" s="710"/>
    </row>
    <row r="10" spans="1:31" ht="17.25" customHeight="1" thickBot="1" x14ac:dyDescent="0.25">
      <c r="A10" s="808"/>
      <c r="B10" s="711" t="s">
        <v>316</v>
      </c>
      <c r="C10" s="715" t="s">
        <v>317</v>
      </c>
      <c r="D10" s="713" t="s">
        <v>216</v>
      </c>
      <c r="E10" s="713" t="s">
        <v>216</v>
      </c>
      <c r="F10" s="713"/>
      <c r="G10" s="713"/>
      <c r="H10" s="713"/>
      <c r="I10" s="713"/>
      <c r="J10" s="713" t="s">
        <v>216</v>
      </c>
      <c r="K10" s="713" t="s">
        <v>216</v>
      </c>
      <c r="L10" s="713"/>
      <c r="M10" s="713"/>
      <c r="N10" s="713"/>
      <c r="O10" s="713" t="s">
        <v>216</v>
      </c>
      <c r="P10" s="713"/>
      <c r="Q10" s="713"/>
      <c r="R10" s="713"/>
      <c r="S10" s="713"/>
      <c r="T10" s="713"/>
      <c r="U10" s="713"/>
      <c r="V10" s="713"/>
      <c r="W10" s="713"/>
      <c r="X10" s="713"/>
      <c r="Y10" s="714"/>
    </row>
    <row r="11" spans="1:31" ht="15" x14ac:dyDescent="0.25">
      <c r="C11" s="413"/>
      <c r="K11" s="415"/>
    </row>
    <row r="12" spans="1:31" ht="15" x14ac:dyDescent="0.25">
      <c r="C12" s="413"/>
      <c r="K12" s="415"/>
    </row>
    <row r="13" spans="1:31" ht="15" x14ac:dyDescent="0.25">
      <c r="C13" s="413"/>
      <c r="K13" s="415"/>
    </row>
    <row r="14" spans="1:31" x14ac:dyDescent="0.2">
      <c r="C14" s="413"/>
      <c r="K14" s="418"/>
    </row>
    <row r="15" spans="1:31" ht="15" x14ac:dyDescent="0.25">
      <c r="C15" s="413"/>
      <c r="K15" s="415"/>
    </row>
    <row r="16" spans="1:31" ht="15" x14ac:dyDescent="0.25">
      <c r="C16" s="413"/>
      <c r="K16" s="415"/>
    </row>
    <row r="17" spans="3:11" ht="15" x14ac:dyDescent="0.25">
      <c r="C17" s="413"/>
      <c r="K17" s="415"/>
    </row>
    <row r="18" spans="3:11" ht="15" x14ac:dyDescent="0.25">
      <c r="C18" s="413"/>
      <c r="K18" s="415"/>
    </row>
    <row r="19" spans="3:11" ht="15" x14ac:dyDescent="0.25">
      <c r="C19" s="413"/>
      <c r="K19" s="415"/>
    </row>
    <row r="20" spans="3:11" x14ac:dyDescent="0.2">
      <c r="C20" s="413"/>
      <c r="K20" s="418"/>
    </row>
    <row r="21" spans="3:11" x14ac:dyDescent="0.2">
      <c r="C21" s="413"/>
      <c r="K21" s="418"/>
    </row>
    <row r="22" spans="3:11" x14ac:dyDescent="0.2">
      <c r="C22" s="419"/>
    </row>
    <row r="23" spans="3:11" x14ac:dyDescent="0.2">
      <c r="C23" s="413"/>
      <c r="K23" s="418"/>
    </row>
    <row r="24" spans="3:11" x14ac:dyDescent="0.2">
      <c r="C24" s="413"/>
      <c r="K24" s="418"/>
    </row>
    <row r="25" spans="3:11" x14ac:dyDescent="0.2">
      <c r="C25" s="413"/>
      <c r="K25" s="418"/>
    </row>
    <row r="26" spans="3:11" x14ac:dyDescent="0.2">
      <c r="C26" s="413"/>
      <c r="K26" s="418"/>
    </row>
    <row r="27" spans="3:11" x14ac:dyDescent="0.2">
      <c r="C27" s="413"/>
      <c r="K27" s="418"/>
    </row>
    <row r="28" spans="3:11" x14ac:dyDescent="0.2">
      <c r="C28" s="413"/>
      <c r="K28" s="418"/>
    </row>
    <row r="29" spans="3:11" x14ac:dyDescent="0.2">
      <c r="C29" s="413"/>
      <c r="K29" s="418"/>
    </row>
    <row r="30" spans="3:11" x14ac:dyDescent="0.2">
      <c r="C30" s="413"/>
      <c r="K30" s="418"/>
    </row>
    <row r="31" spans="3:11" ht="15" x14ac:dyDescent="0.25">
      <c r="C31" s="413"/>
      <c r="K31" s="415"/>
    </row>
    <row r="32" spans="3:11" x14ac:dyDescent="0.2">
      <c r="C32" s="413"/>
      <c r="K32" s="418"/>
    </row>
    <row r="33" spans="3:11" x14ac:dyDescent="0.2">
      <c r="C33" s="413"/>
      <c r="K33" s="418"/>
    </row>
    <row r="34" spans="3:11" ht="15" x14ac:dyDescent="0.25">
      <c r="C34" s="413"/>
      <c r="K34" s="415"/>
    </row>
    <row r="35" spans="3:11" ht="15" x14ac:dyDescent="0.25">
      <c r="C35" s="413"/>
      <c r="K35" s="415"/>
    </row>
    <row r="36" spans="3:11" x14ac:dyDescent="0.2">
      <c r="C36" s="413"/>
      <c r="K36" s="418"/>
    </row>
    <row r="37" spans="3:11" x14ac:dyDescent="0.2">
      <c r="C37" s="413"/>
      <c r="K37" s="418"/>
    </row>
    <row r="38" spans="3:11" x14ac:dyDescent="0.2">
      <c r="C38" s="419"/>
    </row>
    <row r="39" spans="3:11" x14ac:dyDescent="0.2">
      <c r="C39" s="413"/>
      <c r="K39" s="418"/>
    </row>
    <row r="40" spans="3:11" ht="15" x14ac:dyDescent="0.25">
      <c r="C40" s="413"/>
      <c r="K40" s="415"/>
    </row>
    <row r="41" spans="3:11" x14ac:dyDescent="0.2">
      <c r="C41" s="413"/>
      <c r="K41" s="418"/>
    </row>
    <row r="42" spans="3:11" x14ac:dyDescent="0.2">
      <c r="C42" s="419"/>
    </row>
    <row r="43" spans="3:11" x14ac:dyDescent="0.2">
      <c r="C43" s="413"/>
      <c r="K43" s="418"/>
    </row>
    <row r="44" spans="3:11" ht="15" x14ac:dyDescent="0.25">
      <c r="C44" s="413"/>
      <c r="K44" s="415"/>
    </row>
    <row r="45" spans="3:11" ht="15" x14ac:dyDescent="0.25">
      <c r="C45" s="413"/>
      <c r="K45" s="415"/>
    </row>
    <row r="46" spans="3:11" x14ac:dyDescent="0.2">
      <c r="C46" s="413"/>
      <c r="K46" s="418"/>
    </row>
    <row r="47" spans="3:11" x14ac:dyDescent="0.2">
      <c r="C47" s="413"/>
      <c r="K47" s="418"/>
    </row>
    <row r="48" spans="3:11" x14ac:dyDescent="0.2">
      <c r="C48" s="413"/>
      <c r="K48" s="418"/>
    </row>
    <row r="49" spans="3:11" x14ac:dyDescent="0.2">
      <c r="C49" s="413"/>
      <c r="K49" s="418"/>
    </row>
    <row r="50" spans="3:11" ht="15" x14ac:dyDescent="0.25">
      <c r="C50" s="413"/>
      <c r="K50" s="415"/>
    </row>
    <row r="51" spans="3:11" ht="15" x14ac:dyDescent="0.25">
      <c r="C51" s="413"/>
      <c r="K51" s="415"/>
    </row>
    <row r="52" spans="3:11" x14ac:dyDescent="0.2">
      <c r="C52" s="413"/>
      <c r="K52" s="418"/>
    </row>
    <row r="53" spans="3:11" x14ac:dyDescent="0.2">
      <c r="C53" s="413"/>
      <c r="K53" s="418"/>
    </row>
    <row r="54" spans="3:11" x14ac:dyDescent="0.2">
      <c r="C54" s="413"/>
      <c r="K54" s="418"/>
    </row>
    <row r="55" spans="3:11" x14ac:dyDescent="0.2">
      <c r="C55" s="419"/>
    </row>
    <row r="56" spans="3:11" x14ac:dyDescent="0.2">
      <c r="C56" s="419"/>
    </row>
    <row r="57" spans="3:11" x14ac:dyDescent="0.2">
      <c r="C57" s="419"/>
    </row>
    <row r="58" spans="3:11" x14ac:dyDescent="0.2">
      <c r="C58" s="419"/>
    </row>
    <row r="59" spans="3:11" x14ac:dyDescent="0.2">
      <c r="C59" s="419"/>
    </row>
    <row r="60" spans="3:11" x14ac:dyDescent="0.2">
      <c r="C60" s="419"/>
    </row>
    <row r="61" spans="3:11" x14ac:dyDescent="0.2">
      <c r="C61" s="419"/>
    </row>
    <row r="62" spans="3:11" x14ac:dyDescent="0.2">
      <c r="C62" s="419"/>
    </row>
    <row r="63" spans="3:11" x14ac:dyDescent="0.2">
      <c r="C63" s="419"/>
    </row>
    <row r="64" spans="3:11" x14ac:dyDescent="0.2">
      <c r="C64" s="419"/>
    </row>
    <row r="65" spans="3:3" x14ac:dyDescent="0.2">
      <c r="C65" s="419"/>
    </row>
    <row r="66" spans="3:3" x14ac:dyDescent="0.2">
      <c r="C66" s="419"/>
    </row>
    <row r="67" spans="3:3" x14ac:dyDescent="0.2">
      <c r="C67" s="419"/>
    </row>
    <row r="68" spans="3:3" x14ac:dyDescent="0.2">
      <c r="C68" s="419"/>
    </row>
    <row r="69" spans="3:3" x14ac:dyDescent="0.2">
      <c r="C69" s="419"/>
    </row>
    <row r="70" spans="3:3" x14ac:dyDescent="0.2">
      <c r="C70" s="419"/>
    </row>
    <row r="71" spans="3:3" x14ac:dyDescent="0.2">
      <c r="C71" s="419"/>
    </row>
    <row r="72" spans="3:3" x14ac:dyDescent="0.2">
      <c r="C72" s="419"/>
    </row>
    <row r="73" spans="3:3" x14ac:dyDescent="0.2">
      <c r="C73" s="419"/>
    </row>
    <row r="74" spans="3:3" x14ac:dyDescent="0.2">
      <c r="C74" s="419"/>
    </row>
    <row r="75" spans="3:3" x14ac:dyDescent="0.2">
      <c r="C75" s="419"/>
    </row>
    <row r="76" spans="3:3" x14ac:dyDescent="0.2">
      <c r="C76" s="419"/>
    </row>
    <row r="77" spans="3:3" x14ac:dyDescent="0.2">
      <c r="C77" s="419"/>
    </row>
    <row r="78" spans="3:3" x14ac:dyDescent="0.2">
      <c r="C78" s="419"/>
    </row>
    <row r="79" spans="3:3" x14ac:dyDescent="0.2">
      <c r="C79" s="419"/>
    </row>
    <row r="80" spans="3:3" x14ac:dyDescent="0.2">
      <c r="C80" s="419"/>
    </row>
    <row r="81" spans="3:3" x14ac:dyDescent="0.2">
      <c r="C81" s="419"/>
    </row>
    <row r="82" spans="3:3" x14ac:dyDescent="0.2">
      <c r="C82" s="419"/>
    </row>
    <row r="83" spans="3:3" x14ac:dyDescent="0.2">
      <c r="C83" s="419"/>
    </row>
    <row r="84" spans="3:3" x14ac:dyDescent="0.2">
      <c r="C84" s="419"/>
    </row>
    <row r="85" spans="3:3" x14ac:dyDescent="0.2">
      <c r="C85" s="419"/>
    </row>
    <row r="86" spans="3:3" x14ac:dyDescent="0.2">
      <c r="C86" s="419"/>
    </row>
    <row r="87" spans="3:3" x14ac:dyDescent="0.2">
      <c r="C87" s="419"/>
    </row>
    <row r="88" spans="3:3" x14ac:dyDescent="0.2">
      <c r="C88" s="419"/>
    </row>
    <row r="89" spans="3:3" x14ac:dyDescent="0.2">
      <c r="C89" s="419"/>
    </row>
    <row r="90" spans="3:3" x14ac:dyDescent="0.2">
      <c r="C90" s="419"/>
    </row>
    <row r="91" spans="3:3" x14ac:dyDescent="0.2">
      <c r="C91" s="419"/>
    </row>
    <row r="92" spans="3:3" x14ac:dyDescent="0.2">
      <c r="C92" s="419"/>
    </row>
    <row r="93" spans="3:3" x14ac:dyDescent="0.2">
      <c r="C93" s="419"/>
    </row>
    <row r="94" spans="3:3" x14ac:dyDescent="0.2">
      <c r="C94" s="419"/>
    </row>
    <row r="95" spans="3:3" x14ac:dyDescent="0.2">
      <c r="C95" s="419"/>
    </row>
    <row r="96" spans="3:3" x14ac:dyDescent="0.2">
      <c r="C96" s="419"/>
    </row>
    <row r="97" spans="3:3" x14ac:dyDescent="0.2">
      <c r="C97" s="413"/>
    </row>
    <row r="98" spans="3:3" x14ac:dyDescent="0.2">
      <c r="C98" s="419"/>
    </row>
  </sheetData>
  <mergeCells count="2">
    <mergeCell ref="D1:Y1"/>
    <mergeCell ref="A3:A10"/>
  </mergeCells>
  <conditionalFormatting sqref="D3:Q10">
    <cfRule type="cellIs" dxfId="3" priority="2" operator="equal">
      <formula>""</formula>
    </cfRule>
  </conditionalFormatting>
  <conditionalFormatting sqref="R3:Y10">
    <cfRule type="cellIs" dxfId="2" priority="1" operator="equal">
      <formula>""</formula>
    </cfRule>
  </conditionalFormatting>
  <hyperlinks>
    <hyperlink ref="C1" location="Inventory!A1" display="Inventory"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33"/>
  <sheetViews>
    <sheetView showGridLines="0" topLeftCell="A13" workbookViewId="0">
      <selection activeCell="B32" sqref="B32"/>
    </sheetView>
  </sheetViews>
  <sheetFormatPr defaultRowHeight="15" x14ac:dyDescent="0.25"/>
  <cols>
    <col min="1" max="1" width="11.140625" style="193" customWidth="1"/>
    <col min="2" max="2" width="34.85546875" style="193" bestFit="1" customWidth="1"/>
    <col min="3" max="3" width="107" style="181" bestFit="1" customWidth="1"/>
    <col min="4" max="16384" width="9.140625" style="181"/>
  </cols>
  <sheetData>
    <row r="1" spans="1:4" x14ac:dyDescent="0.25">
      <c r="A1" s="187" t="s">
        <v>19</v>
      </c>
      <c r="B1" s="187" t="s">
        <v>20</v>
      </c>
      <c r="C1" s="188" t="s">
        <v>21</v>
      </c>
      <c r="D1" s="188"/>
    </row>
    <row r="2" spans="1:4" x14ac:dyDescent="0.25">
      <c r="A2" s="189">
        <v>41091</v>
      </c>
      <c r="B2" s="405" t="s">
        <v>22</v>
      </c>
      <c r="C2" s="243" t="s">
        <v>23</v>
      </c>
      <c r="D2" s="184"/>
    </row>
    <row r="3" spans="1:4" s="193" customFormat="1" x14ac:dyDescent="0.2">
      <c r="A3" s="191">
        <v>41183</v>
      </c>
      <c r="B3" s="192" t="s">
        <v>24</v>
      </c>
      <c r="C3" s="192" t="s">
        <v>25</v>
      </c>
    </row>
    <row r="4" spans="1:4" x14ac:dyDescent="0.25">
      <c r="A4" s="189">
        <v>41246</v>
      </c>
      <c r="B4" s="192" t="s">
        <v>24</v>
      </c>
      <c r="C4" s="243" t="s">
        <v>26</v>
      </c>
    </row>
    <row r="5" spans="1:4" x14ac:dyDescent="0.25">
      <c r="A5" s="189">
        <v>41246</v>
      </c>
      <c r="B5" s="405" t="s">
        <v>27</v>
      </c>
      <c r="C5" s="243" t="s">
        <v>26</v>
      </c>
    </row>
    <row r="6" spans="1:4" x14ac:dyDescent="0.25">
      <c r="A6" s="189">
        <v>41246</v>
      </c>
      <c r="B6" s="405" t="s">
        <v>28</v>
      </c>
      <c r="C6" s="243" t="s">
        <v>26</v>
      </c>
    </row>
    <row r="7" spans="1:4" x14ac:dyDescent="0.25">
      <c r="A7" s="189">
        <v>41406</v>
      </c>
      <c r="B7" s="405" t="s">
        <v>29</v>
      </c>
      <c r="C7" s="243" t="s">
        <v>30</v>
      </c>
    </row>
    <row r="8" spans="1:4" x14ac:dyDescent="0.25">
      <c r="A8" s="214">
        <v>41426</v>
      </c>
      <c r="B8" s="621" t="s">
        <v>31</v>
      </c>
      <c r="C8" s="244" t="s">
        <v>32</v>
      </c>
    </row>
    <row r="9" spans="1:4" x14ac:dyDescent="0.25">
      <c r="A9" s="189">
        <v>41426</v>
      </c>
      <c r="B9" s="405" t="s">
        <v>31</v>
      </c>
      <c r="C9" s="244" t="s">
        <v>33</v>
      </c>
    </row>
    <row r="10" spans="1:4" x14ac:dyDescent="0.25">
      <c r="A10" s="189">
        <v>41548</v>
      </c>
      <c r="B10" s="192" t="s">
        <v>24</v>
      </c>
      <c r="C10" s="192" t="s">
        <v>25</v>
      </c>
    </row>
    <row r="11" spans="1:4" x14ac:dyDescent="0.25">
      <c r="A11" s="189"/>
      <c r="B11" s="405" t="s">
        <v>31</v>
      </c>
      <c r="C11" s="243" t="s">
        <v>34</v>
      </c>
    </row>
    <row r="12" spans="1:4" x14ac:dyDescent="0.25">
      <c r="A12" s="189">
        <v>41821</v>
      </c>
      <c r="B12" s="405" t="s">
        <v>31</v>
      </c>
      <c r="C12" s="244" t="s">
        <v>35</v>
      </c>
    </row>
    <row r="13" spans="1:4" x14ac:dyDescent="0.25">
      <c r="A13" s="189">
        <v>42064</v>
      </c>
      <c r="B13" s="405" t="s">
        <v>36</v>
      </c>
      <c r="C13" s="244" t="s">
        <v>37</v>
      </c>
    </row>
    <row r="14" spans="1:4" x14ac:dyDescent="0.25">
      <c r="A14" s="189">
        <v>42064</v>
      </c>
      <c r="B14" s="405" t="s">
        <v>31</v>
      </c>
      <c r="C14" s="244" t="s">
        <v>38</v>
      </c>
    </row>
    <row r="15" spans="1:4" x14ac:dyDescent="0.25">
      <c r="A15" s="189">
        <v>42644</v>
      </c>
      <c r="B15" s="192" t="s">
        <v>24</v>
      </c>
      <c r="C15" s="244" t="s">
        <v>25</v>
      </c>
    </row>
    <row r="16" spans="1:4" x14ac:dyDescent="0.25">
      <c r="A16" s="189">
        <v>42644</v>
      </c>
      <c r="B16" s="405" t="s">
        <v>39</v>
      </c>
      <c r="C16" s="244" t="s">
        <v>40</v>
      </c>
    </row>
    <row r="17" spans="1:3" x14ac:dyDescent="0.25">
      <c r="A17" s="189">
        <v>42887</v>
      </c>
      <c r="B17" s="405" t="s">
        <v>31</v>
      </c>
      <c r="C17" s="244" t="s">
        <v>41</v>
      </c>
    </row>
    <row r="18" spans="1:3" x14ac:dyDescent="0.25">
      <c r="A18" s="189">
        <v>42887</v>
      </c>
      <c r="B18" s="405" t="s">
        <v>1</v>
      </c>
      <c r="C18" s="244" t="s">
        <v>42</v>
      </c>
    </row>
    <row r="19" spans="1:3" x14ac:dyDescent="0.25">
      <c r="A19" s="189">
        <v>42887</v>
      </c>
      <c r="B19" s="405" t="s">
        <v>43</v>
      </c>
      <c r="C19" s="244" t="s">
        <v>44</v>
      </c>
    </row>
    <row r="20" spans="1:3" x14ac:dyDescent="0.25">
      <c r="A20" s="373">
        <v>42948</v>
      </c>
      <c r="B20" s="371" t="s">
        <v>45</v>
      </c>
      <c r="C20" s="317" t="s">
        <v>46</v>
      </c>
    </row>
    <row r="21" spans="1:3" x14ac:dyDescent="0.25">
      <c r="A21" s="189">
        <v>43009</v>
      </c>
      <c r="B21" s="192" t="s">
        <v>24</v>
      </c>
      <c r="C21" s="192" t="s">
        <v>25</v>
      </c>
    </row>
    <row r="22" spans="1:3" x14ac:dyDescent="0.25">
      <c r="A22" s="189">
        <v>43374</v>
      </c>
      <c r="B22" s="192" t="s">
        <v>24</v>
      </c>
      <c r="C22" s="192" t="s">
        <v>25</v>
      </c>
    </row>
    <row r="23" spans="1:3" x14ac:dyDescent="0.25">
      <c r="A23" s="214">
        <v>43435</v>
      </c>
      <c r="B23" s="371" t="s">
        <v>31</v>
      </c>
      <c r="C23" s="318" t="s">
        <v>47</v>
      </c>
    </row>
    <row r="24" spans="1:3" x14ac:dyDescent="0.25">
      <c r="A24" s="373">
        <v>43435</v>
      </c>
      <c r="B24" s="372" t="s">
        <v>48</v>
      </c>
      <c r="C24" s="317" t="s">
        <v>49</v>
      </c>
    </row>
    <row r="25" spans="1:3" x14ac:dyDescent="0.25">
      <c r="A25" s="214">
        <v>43435</v>
      </c>
      <c r="B25" s="372" t="s">
        <v>50</v>
      </c>
      <c r="C25" s="317" t="s">
        <v>51</v>
      </c>
    </row>
    <row r="26" spans="1:3" x14ac:dyDescent="0.25">
      <c r="A26" s="189">
        <v>43435</v>
      </c>
      <c r="B26" s="405" t="s">
        <v>52</v>
      </c>
      <c r="C26" s="318" t="s">
        <v>37</v>
      </c>
    </row>
    <row r="27" spans="1:3" x14ac:dyDescent="0.25">
      <c r="A27" s="189">
        <v>43586</v>
      </c>
      <c r="B27" s="405" t="s">
        <v>53</v>
      </c>
      <c r="C27" s="318" t="s">
        <v>54</v>
      </c>
    </row>
    <row r="28" spans="1:3" x14ac:dyDescent="0.25">
      <c r="A28" s="189">
        <v>43952</v>
      </c>
      <c r="B28" s="405" t="s">
        <v>55</v>
      </c>
      <c r="C28" s="318" t="s">
        <v>56</v>
      </c>
    </row>
    <row r="29" spans="1:3" x14ac:dyDescent="0.25">
      <c r="A29" s="214">
        <v>44835</v>
      </c>
      <c r="B29" s="371" t="s">
        <v>31</v>
      </c>
      <c r="C29" s="243" t="s">
        <v>57</v>
      </c>
    </row>
    <row r="30" spans="1:3" x14ac:dyDescent="0.25">
      <c r="A30" s="189">
        <v>44835</v>
      </c>
      <c r="B30" s="405" t="s">
        <v>31</v>
      </c>
      <c r="C30" s="318" t="s">
        <v>58</v>
      </c>
    </row>
    <row r="31" spans="1:3" x14ac:dyDescent="0.25">
      <c r="A31" s="189">
        <v>44835</v>
      </c>
      <c r="B31" s="405" t="s">
        <v>59</v>
      </c>
      <c r="C31" s="318" t="s">
        <v>60</v>
      </c>
    </row>
    <row r="32" spans="1:3" x14ac:dyDescent="0.25">
      <c r="A32" s="190"/>
      <c r="B32" s="405"/>
      <c r="C32" s="318"/>
    </row>
    <row r="33" spans="1:3" x14ac:dyDescent="0.25">
      <c r="A33" s="190"/>
      <c r="B33" s="405"/>
      <c r="C33" s="318"/>
    </row>
  </sheetData>
  <phoneticPr fontId="10" type="noConversion"/>
  <pageMargins left="0.75" right="0.75" top="1" bottom="1" header="0.5" footer="0.5"/>
  <pageSetup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5"/>
  <sheetViews>
    <sheetView showGridLines="0" zoomScale="80" zoomScaleNormal="80" workbookViewId="0">
      <selection activeCell="A2" sqref="A2:A12"/>
    </sheetView>
  </sheetViews>
  <sheetFormatPr defaultRowHeight="12.75" x14ac:dyDescent="0.2"/>
  <cols>
    <col min="1" max="1" width="78.140625" style="537" bestFit="1" customWidth="1"/>
    <col min="2" max="2" width="28.7109375" style="537" bestFit="1" customWidth="1"/>
    <col min="3" max="3" width="28.85546875" style="537" bestFit="1" customWidth="1"/>
    <col min="4" max="4" width="27.5703125" style="537" bestFit="1" customWidth="1"/>
    <col min="5" max="5" width="29.85546875" style="537" bestFit="1" customWidth="1"/>
    <col min="6" max="6" width="34.140625" style="537" bestFit="1" customWidth="1"/>
    <col min="7" max="7" width="28.7109375" style="537" bestFit="1" customWidth="1"/>
    <col min="8" max="8" width="28.5703125" style="537" bestFit="1" customWidth="1"/>
    <col min="9" max="9" width="18.28515625" style="537" customWidth="1"/>
    <col min="10" max="10" width="31.42578125" style="537" bestFit="1" customWidth="1"/>
    <col min="11" max="13" width="9.140625" style="537"/>
    <col min="14" max="14" width="10.28515625" style="537" bestFit="1" customWidth="1"/>
    <col min="15" max="16384" width="9.140625" style="537"/>
  </cols>
  <sheetData>
    <row r="1" spans="1:14" ht="15.75" x14ac:dyDescent="0.25">
      <c r="A1" s="663" t="s">
        <v>328</v>
      </c>
      <c r="B1" s="663" t="str">
        <f>A18</f>
        <v>MH-60S 5PAA CVW v220921</v>
      </c>
      <c r="C1" s="663" t="str">
        <f>A19</f>
        <v>MH-60S 1PAA MIW v220921</v>
      </c>
      <c r="D1" s="663" t="str">
        <f>A20</f>
        <v>MH-60S 1PAA RFS v220921</v>
      </c>
      <c r="E1" s="663" t="str">
        <f>A21</f>
        <v>MH-60S 1PAA SUW v220921</v>
      </c>
      <c r="F1" s="663" t="str">
        <f>A22</f>
        <v>MH-60S 2PAA CLF HUM v220921</v>
      </c>
      <c r="G1" s="663" t="str">
        <f>A23</f>
        <v>MH-60S 3PAA EXP v220921</v>
      </c>
      <c r="H1" s="663" t="str">
        <f>A24</f>
        <v>MH-60S 4PAA RFS v220921</v>
      </c>
      <c r="I1" s="664" t="s">
        <v>329</v>
      </c>
      <c r="J1" s="663" t="str">
        <f>A25</f>
        <v>MH-60S 4PAA HSC85 v220921</v>
      </c>
      <c r="L1" s="695" t="s">
        <v>62</v>
      </c>
      <c r="N1" s="696">
        <v>44825</v>
      </c>
    </row>
    <row r="2" spans="1:14" ht="15" x14ac:dyDescent="0.25">
      <c r="A2" s="665" t="s">
        <v>230</v>
      </c>
      <c r="B2" s="697">
        <f>(LARGE(_xlfn.UNIQUE(B3:B12),1)+LARGE(_xlfn.UNIQUE(B3:B12),2)+LARGE(_xlfn.UNIQUE(B3:B12),3))/3</f>
        <v>0.85329397260848727</v>
      </c>
      <c r="C2" s="697">
        <f t="shared" ref="C2:J2" si="0">(LARGE(_xlfn.UNIQUE(C3:C12),1)+LARGE(_xlfn.UNIQUE(C3:C12),2)+LARGE(_xlfn.UNIQUE(C3:C12),3))/3</f>
        <v>0.57399575280618176</v>
      </c>
      <c r="D2" s="697">
        <f t="shared" si="0"/>
        <v>0.76006988682998511</v>
      </c>
      <c r="E2" s="697">
        <f t="shared" si="0"/>
        <v>0.64517666563050469</v>
      </c>
      <c r="F2" s="697">
        <f t="shared" si="0"/>
        <v>0.61525284137703851</v>
      </c>
      <c r="G2" s="697">
        <f t="shared" si="0"/>
        <v>0.78417735354793427</v>
      </c>
      <c r="H2" s="697">
        <f t="shared" si="0"/>
        <v>0.80146172131747528</v>
      </c>
      <c r="I2" s="697">
        <f t="shared" si="0"/>
        <v>0.8123751005624088</v>
      </c>
      <c r="J2" s="697">
        <f t="shared" si="0"/>
        <v>0.88803556784246185</v>
      </c>
    </row>
    <row r="3" spans="1:14" ht="15" x14ac:dyDescent="0.25">
      <c r="A3" s="665" t="s">
        <v>144</v>
      </c>
      <c r="B3" s="697">
        <v>0.57500808631648892</v>
      </c>
      <c r="C3" s="697">
        <v>0.36496868140692773</v>
      </c>
      <c r="D3" s="697">
        <v>0.57119280711366938</v>
      </c>
      <c r="E3" s="697">
        <v>0.36792042275411885</v>
      </c>
      <c r="F3" s="697">
        <v>0.31055839235710753</v>
      </c>
      <c r="G3" s="697">
        <v>0.59439634505905103</v>
      </c>
      <c r="H3" s="697">
        <v>0.67898958610247429</v>
      </c>
      <c r="I3" s="697">
        <v>0.67898958610247429</v>
      </c>
      <c r="J3" s="697">
        <v>0.39493405816910199</v>
      </c>
    </row>
    <row r="4" spans="1:14" ht="15" x14ac:dyDescent="0.25">
      <c r="A4" s="665" t="s">
        <v>145</v>
      </c>
      <c r="B4" s="697">
        <v>0</v>
      </c>
      <c r="C4" s="697">
        <v>0.30070533754483658</v>
      </c>
      <c r="D4" s="697">
        <v>0</v>
      </c>
      <c r="E4" s="697">
        <v>0</v>
      </c>
      <c r="F4" s="697">
        <v>0</v>
      </c>
      <c r="G4" s="697">
        <v>0</v>
      </c>
      <c r="H4" s="697">
        <v>0</v>
      </c>
      <c r="I4" s="697">
        <v>0.30070533754483658</v>
      </c>
      <c r="J4" s="697">
        <v>0</v>
      </c>
    </row>
    <row r="5" spans="1:14" ht="15" x14ac:dyDescent="0.25">
      <c r="A5" s="665" t="s">
        <v>146</v>
      </c>
      <c r="B5" s="697">
        <v>0.79800747307366393</v>
      </c>
      <c r="C5" s="697">
        <v>0.35701857701161749</v>
      </c>
      <c r="D5" s="697">
        <v>0.70901685337628628</v>
      </c>
      <c r="E5" s="697">
        <v>0.56760957413739521</v>
      </c>
      <c r="F5" s="697">
        <v>0.52218744852577836</v>
      </c>
      <c r="G5" s="697">
        <v>0.75813571558475212</v>
      </c>
      <c r="H5" s="697">
        <v>0.72539557784995179</v>
      </c>
      <c r="I5" s="697">
        <v>0.75813571558475212</v>
      </c>
      <c r="J5" s="697">
        <v>0.86544462381952025</v>
      </c>
    </row>
    <row r="6" spans="1:14" ht="15" x14ac:dyDescent="0.25">
      <c r="A6" s="665" t="s">
        <v>147</v>
      </c>
      <c r="B6" s="697">
        <v>0.79800747307366393</v>
      </c>
      <c r="C6" s="697">
        <v>0.35701857701161749</v>
      </c>
      <c r="D6" s="697">
        <v>0.70901685337628628</v>
      </c>
      <c r="E6" s="697">
        <v>0.56760957413739521</v>
      </c>
      <c r="F6" s="697">
        <v>0.52218744852577836</v>
      </c>
      <c r="G6" s="697">
        <v>0.75813571558475212</v>
      </c>
      <c r="H6" s="697">
        <v>0.72539557784995179</v>
      </c>
      <c r="I6" s="697">
        <v>0.75813571558475212</v>
      </c>
      <c r="J6" s="697">
        <v>0.86544462381952025</v>
      </c>
    </row>
    <row r="7" spans="1:14" ht="15" x14ac:dyDescent="0.25">
      <c r="A7" s="665" t="s">
        <v>148</v>
      </c>
      <c r="B7" s="697">
        <v>0.50565749436885021</v>
      </c>
      <c r="C7" s="697">
        <v>0.23195834894801659</v>
      </c>
      <c r="D7" s="697">
        <v>0.53071301730227138</v>
      </c>
      <c r="E7" s="697">
        <v>0.24213552999689159</v>
      </c>
      <c r="F7" s="697">
        <v>0.22671718003623786</v>
      </c>
      <c r="G7" s="697">
        <v>0.52911222189768148</v>
      </c>
      <c r="H7" s="697">
        <v>0.61053063488944603</v>
      </c>
      <c r="I7" s="697">
        <v>0.61053063488944603</v>
      </c>
      <c r="J7" s="697">
        <v>0.78493730755146152</v>
      </c>
    </row>
    <row r="8" spans="1:14" ht="15" x14ac:dyDescent="0.25">
      <c r="A8" s="665" t="s">
        <v>149</v>
      </c>
      <c r="B8" s="697">
        <v>0.50565749436885021</v>
      </c>
      <c r="C8" s="697">
        <v>0.23195834894801659</v>
      </c>
      <c r="D8" s="697">
        <v>0.53071301730227138</v>
      </c>
      <c r="E8" s="697">
        <v>0.24213552999689159</v>
      </c>
      <c r="F8" s="697">
        <v>0.22671718003623786</v>
      </c>
      <c r="G8" s="697">
        <v>0.52911222189768148</v>
      </c>
      <c r="H8" s="697">
        <v>0.61053063488944603</v>
      </c>
      <c r="I8" s="697">
        <v>0.61053063488944603</v>
      </c>
      <c r="J8" s="697">
        <v>0.78493730755146152</v>
      </c>
    </row>
    <row r="9" spans="1:14" ht="15" x14ac:dyDescent="0.25">
      <c r="A9" s="665" t="s">
        <v>150</v>
      </c>
      <c r="B9" s="697">
        <v>0</v>
      </c>
      <c r="C9" s="697">
        <v>0</v>
      </c>
      <c r="D9" s="697">
        <v>0</v>
      </c>
      <c r="E9" s="697">
        <v>0</v>
      </c>
      <c r="F9" s="697">
        <v>0</v>
      </c>
      <c r="G9" s="697">
        <v>0</v>
      </c>
      <c r="H9" s="697">
        <v>0</v>
      </c>
      <c r="I9" s="697">
        <v>0</v>
      </c>
      <c r="J9" s="697">
        <v>0</v>
      </c>
    </row>
    <row r="10" spans="1:14" ht="15" x14ac:dyDescent="0.25">
      <c r="A10" s="665" t="s">
        <v>151</v>
      </c>
      <c r="B10" s="697">
        <v>0.76187444475179777</v>
      </c>
      <c r="C10" s="697">
        <v>0</v>
      </c>
      <c r="D10" s="697">
        <v>0.70901685337628628</v>
      </c>
      <c r="E10" s="697">
        <v>0.56760957413739521</v>
      </c>
      <c r="F10" s="697">
        <v>0.52218744852577836</v>
      </c>
      <c r="G10" s="697">
        <v>0.75813571558475212</v>
      </c>
      <c r="H10" s="697">
        <v>0.72539557784995179</v>
      </c>
      <c r="I10" s="697">
        <v>0.75813571558475212</v>
      </c>
      <c r="J10" s="697">
        <v>0.79866207970786529</v>
      </c>
    </row>
    <row r="11" spans="1:14" ht="15" x14ac:dyDescent="0.25">
      <c r="A11" s="665" t="s">
        <v>152</v>
      </c>
      <c r="B11" s="697">
        <v>0.19503756295252275</v>
      </c>
      <c r="C11" s="697">
        <v>0.2229442154290916</v>
      </c>
      <c r="D11" s="697">
        <v>0.23604628902253061</v>
      </c>
      <c r="E11" s="697">
        <v>0.29608330742928207</v>
      </c>
      <c r="F11" s="697">
        <v>0.32357107560533688</v>
      </c>
      <c r="G11" s="697">
        <v>0.22324789339388165</v>
      </c>
      <c r="H11" s="697">
        <v>0.25508269859799576</v>
      </c>
      <c r="I11" s="697">
        <v>0.32357107560533688</v>
      </c>
      <c r="J11" s="697">
        <v>0.13455537618048</v>
      </c>
    </row>
    <row r="12" spans="1:14" ht="15" x14ac:dyDescent="0.25">
      <c r="A12" s="666" t="s">
        <v>153</v>
      </c>
      <c r="B12" s="697">
        <v>1</v>
      </c>
      <c r="C12" s="697">
        <v>1</v>
      </c>
      <c r="D12" s="697">
        <v>1</v>
      </c>
      <c r="E12" s="697">
        <v>1</v>
      </c>
      <c r="F12" s="697">
        <v>1</v>
      </c>
      <c r="G12" s="697">
        <v>1</v>
      </c>
      <c r="H12" s="697">
        <v>1</v>
      </c>
      <c r="I12" s="697">
        <v>1</v>
      </c>
      <c r="J12" s="697">
        <v>1</v>
      </c>
    </row>
    <row r="17" spans="1:1" ht="15.75" x14ac:dyDescent="0.25">
      <c r="A17" s="663" t="s">
        <v>330</v>
      </c>
    </row>
    <row r="18" spans="1:1" x14ac:dyDescent="0.2">
      <c r="A18" s="667" t="s">
        <v>229</v>
      </c>
    </row>
    <row r="19" spans="1:1" x14ac:dyDescent="0.2">
      <c r="A19" s="667" t="s">
        <v>254</v>
      </c>
    </row>
    <row r="20" spans="1:1" x14ac:dyDescent="0.2">
      <c r="A20" s="667" t="s">
        <v>259</v>
      </c>
    </row>
    <row r="21" spans="1:1" x14ac:dyDescent="0.2">
      <c r="A21" s="667" t="s">
        <v>256</v>
      </c>
    </row>
    <row r="22" spans="1:1" x14ac:dyDescent="0.2">
      <c r="A22" s="667" t="s">
        <v>266</v>
      </c>
    </row>
    <row r="23" spans="1:1" x14ac:dyDescent="0.2">
      <c r="A23" s="667" t="s">
        <v>247</v>
      </c>
    </row>
    <row r="24" spans="1:1" x14ac:dyDescent="0.2">
      <c r="A24" s="667" t="s">
        <v>262</v>
      </c>
    </row>
    <row r="25" spans="1:1" x14ac:dyDescent="0.2">
      <c r="A25" s="667" t="s">
        <v>268</v>
      </c>
    </row>
  </sheetData>
  <conditionalFormatting sqref="B3:B12">
    <cfRule type="cellIs" dxfId="1" priority="2" operator="between">
      <formula>0.9</formula>
      <formula>0.99</formula>
    </cfRule>
  </conditionalFormatting>
  <conditionalFormatting sqref="B2:J2">
    <cfRule type="cellIs" dxfId="0" priority="1" operator="between">
      <formula>0.9</formula>
      <formula>0.99</formula>
    </cfRule>
  </conditionalFormatting>
  <hyperlinks>
    <hyperlink ref="L1" location="Inventory!A1" display="Inventory"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35"/>
  <sheetViews>
    <sheetView showGridLines="0" zoomScaleNormal="100" workbookViewId="0">
      <selection activeCell="A2" sqref="A2"/>
    </sheetView>
  </sheetViews>
  <sheetFormatPr defaultRowHeight="12.75" x14ac:dyDescent="0.2"/>
  <cols>
    <col min="1" max="1" width="16.5703125" style="537" bestFit="1" customWidth="1"/>
    <col min="2" max="2" width="13.140625" style="537" customWidth="1"/>
    <col min="3" max="3" width="36.5703125" style="537" customWidth="1"/>
    <col min="4" max="4" width="105" style="537" bestFit="1" customWidth="1"/>
    <col min="5" max="5" width="11" style="537" bestFit="1" customWidth="1"/>
    <col min="6" max="6" width="9.28515625" style="537" customWidth="1"/>
    <col min="7" max="256" width="9.140625" style="537"/>
    <col min="257" max="257" width="16.5703125" style="537" bestFit="1" customWidth="1"/>
    <col min="258" max="258" width="13.140625" style="537" customWidth="1"/>
    <col min="259" max="259" width="33.140625" style="537" customWidth="1"/>
    <col min="260" max="260" width="105" style="537" bestFit="1" customWidth="1"/>
    <col min="261" max="261" width="9.140625" style="537"/>
    <col min="262" max="262" width="9.28515625" style="537" customWidth="1"/>
    <col min="263" max="512" width="9.140625" style="537"/>
    <col min="513" max="513" width="16.5703125" style="537" bestFit="1" customWidth="1"/>
    <col min="514" max="514" width="13.140625" style="537" customWidth="1"/>
    <col min="515" max="515" width="33.140625" style="537" customWidth="1"/>
    <col min="516" max="516" width="105" style="537" bestFit="1" customWidth="1"/>
    <col min="517" max="517" width="9.140625" style="537"/>
    <col min="518" max="518" width="9.28515625" style="537" customWidth="1"/>
    <col min="519" max="768" width="9.140625" style="537"/>
    <col min="769" max="769" width="16.5703125" style="537" bestFit="1" customWidth="1"/>
    <col min="770" max="770" width="13.140625" style="537" customWidth="1"/>
    <col min="771" max="771" width="33.140625" style="537" customWidth="1"/>
    <col min="772" max="772" width="105" style="537" bestFit="1" customWidth="1"/>
    <col min="773" max="773" width="9.140625" style="537"/>
    <col min="774" max="774" width="9.28515625" style="537" customWidth="1"/>
    <col min="775" max="1024" width="9.140625" style="537"/>
    <col min="1025" max="1025" width="16.5703125" style="537" bestFit="1" customWidth="1"/>
    <col min="1026" max="1026" width="13.140625" style="537" customWidth="1"/>
    <col min="1027" max="1027" width="33.140625" style="537" customWidth="1"/>
    <col min="1028" max="1028" width="105" style="537" bestFit="1" customWidth="1"/>
    <col min="1029" max="1029" width="9.140625" style="537"/>
    <col min="1030" max="1030" width="9.28515625" style="537" customWidth="1"/>
    <col min="1031" max="1280" width="9.140625" style="537"/>
    <col min="1281" max="1281" width="16.5703125" style="537" bestFit="1" customWidth="1"/>
    <col min="1282" max="1282" width="13.140625" style="537" customWidth="1"/>
    <col min="1283" max="1283" width="33.140625" style="537" customWidth="1"/>
    <col min="1284" max="1284" width="105" style="537" bestFit="1" customWidth="1"/>
    <col min="1285" max="1285" width="9.140625" style="537"/>
    <col min="1286" max="1286" width="9.28515625" style="537" customWidth="1"/>
    <col min="1287" max="1536" width="9.140625" style="537"/>
    <col min="1537" max="1537" width="16.5703125" style="537" bestFit="1" customWidth="1"/>
    <col min="1538" max="1538" width="13.140625" style="537" customWidth="1"/>
    <col min="1539" max="1539" width="33.140625" style="537" customWidth="1"/>
    <col min="1540" max="1540" width="105" style="537" bestFit="1" customWidth="1"/>
    <col min="1541" max="1541" width="9.140625" style="537"/>
    <col min="1542" max="1542" width="9.28515625" style="537" customWidth="1"/>
    <col min="1543" max="1792" width="9.140625" style="537"/>
    <col min="1793" max="1793" width="16.5703125" style="537" bestFit="1" customWidth="1"/>
    <col min="1794" max="1794" width="13.140625" style="537" customWidth="1"/>
    <col min="1795" max="1795" width="33.140625" style="537" customWidth="1"/>
    <col min="1796" max="1796" width="105" style="537" bestFit="1" customWidth="1"/>
    <col min="1797" max="1797" width="9.140625" style="537"/>
    <col min="1798" max="1798" width="9.28515625" style="537" customWidth="1"/>
    <col min="1799" max="2048" width="9.140625" style="537"/>
    <col min="2049" max="2049" width="16.5703125" style="537" bestFit="1" customWidth="1"/>
    <col min="2050" max="2050" width="13.140625" style="537" customWidth="1"/>
    <col min="2051" max="2051" width="33.140625" style="537" customWidth="1"/>
    <col min="2052" max="2052" width="105" style="537" bestFit="1" customWidth="1"/>
    <col min="2053" max="2053" width="9.140625" style="537"/>
    <col min="2054" max="2054" width="9.28515625" style="537" customWidth="1"/>
    <col min="2055" max="2304" width="9.140625" style="537"/>
    <col min="2305" max="2305" width="16.5703125" style="537" bestFit="1" customWidth="1"/>
    <col min="2306" max="2306" width="13.140625" style="537" customWidth="1"/>
    <col min="2307" max="2307" width="33.140625" style="537" customWidth="1"/>
    <col min="2308" max="2308" width="105" style="537" bestFit="1" customWidth="1"/>
    <col min="2309" max="2309" width="9.140625" style="537"/>
    <col min="2310" max="2310" width="9.28515625" style="537" customWidth="1"/>
    <col min="2311" max="2560" width="9.140625" style="537"/>
    <col min="2561" max="2561" width="16.5703125" style="537" bestFit="1" customWidth="1"/>
    <col min="2562" max="2562" width="13.140625" style="537" customWidth="1"/>
    <col min="2563" max="2563" width="33.140625" style="537" customWidth="1"/>
    <col min="2564" max="2564" width="105" style="537" bestFit="1" customWidth="1"/>
    <col min="2565" max="2565" width="9.140625" style="537"/>
    <col min="2566" max="2566" width="9.28515625" style="537" customWidth="1"/>
    <col min="2567" max="2816" width="9.140625" style="537"/>
    <col min="2817" max="2817" width="16.5703125" style="537" bestFit="1" customWidth="1"/>
    <col min="2818" max="2818" width="13.140625" style="537" customWidth="1"/>
    <col min="2819" max="2819" width="33.140625" style="537" customWidth="1"/>
    <col min="2820" max="2820" width="105" style="537" bestFit="1" customWidth="1"/>
    <col min="2821" max="2821" width="9.140625" style="537"/>
    <col min="2822" max="2822" width="9.28515625" style="537" customWidth="1"/>
    <col min="2823" max="3072" width="9.140625" style="537"/>
    <col min="3073" max="3073" width="16.5703125" style="537" bestFit="1" customWidth="1"/>
    <col min="3074" max="3074" width="13.140625" style="537" customWidth="1"/>
    <col min="3075" max="3075" width="33.140625" style="537" customWidth="1"/>
    <col min="3076" max="3076" width="105" style="537" bestFit="1" customWidth="1"/>
    <col min="3077" max="3077" width="9.140625" style="537"/>
    <col min="3078" max="3078" width="9.28515625" style="537" customWidth="1"/>
    <col min="3079" max="3328" width="9.140625" style="537"/>
    <col min="3329" max="3329" width="16.5703125" style="537" bestFit="1" customWidth="1"/>
    <col min="3330" max="3330" width="13.140625" style="537" customWidth="1"/>
    <col min="3331" max="3331" width="33.140625" style="537" customWidth="1"/>
    <col min="3332" max="3332" width="105" style="537" bestFit="1" customWidth="1"/>
    <col min="3333" max="3333" width="9.140625" style="537"/>
    <col min="3334" max="3334" width="9.28515625" style="537" customWidth="1"/>
    <col min="3335" max="3584" width="9.140625" style="537"/>
    <col min="3585" max="3585" width="16.5703125" style="537" bestFit="1" customWidth="1"/>
    <col min="3586" max="3586" width="13.140625" style="537" customWidth="1"/>
    <col min="3587" max="3587" width="33.140625" style="537" customWidth="1"/>
    <col min="3588" max="3588" width="105" style="537" bestFit="1" customWidth="1"/>
    <col min="3589" max="3589" width="9.140625" style="537"/>
    <col min="3590" max="3590" width="9.28515625" style="537" customWidth="1"/>
    <col min="3591" max="3840" width="9.140625" style="537"/>
    <col min="3841" max="3841" width="16.5703125" style="537" bestFit="1" customWidth="1"/>
    <col min="3842" max="3842" width="13.140625" style="537" customWidth="1"/>
    <col min="3843" max="3843" width="33.140625" style="537" customWidth="1"/>
    <col min="3844" max="3844" width="105" style="537" bestFit="1" customWidth="1"/>
    <col min="3845" max="3845" width="9.140625" style="537"/>
    <col min="3846" max="3846" width="9.28515625" style="537" customWidth="1"/>
    <col min="3847" max="4096" width="9.140625" style="537"/>
    <col min="4097" max="4097" width="16.5703125" style="537" bestFit="1" customWidth="1"/>
    <col min="4098" max="4098" width="13.140625" style="537" customWidth="1"/>
    <col min="4099" max="4099" width="33.140625" style="537" customWidth="1"/>
    <col min="4100" max="4100" width="105" style="537" bestFit="1" customWidth="1"/>
    <col min="4101" max="4101" width="9.140625" style="537"/>
    <col min="4102" max="4102" width="9.28515625" style="537" customWidth="1"/>
    <col min="4103" max="4352" width="9.140625" style="537"/>
    <col min="4353" max="4353" width="16.5703125" style="537" bestFit="1" customWidth="1"/>
    <col min="4354" max="4354" width="13.140625" style="537" customWidth="1"/>
    <col min="4355" max="4355" width="33.140625" style="537" customWidth="1"/>
    <col min="4356" max="4356" width="105" style="537" bestFit="1" customWidth="1"/>
    <col min="4357" max="4357" width="9.140625" style="537"/>
    <col min="4358" max="4358" width="9.28515625" style="537" customWidth="1"/>
    <col min="4359" max="4608" width="9.140625" style="537"/>
    <col min="4609" max="4609" width="16.5703125" style="537" bestFit="1" customWidth="1"/>
    <col min="4610" max="4610" width="13.140625" style="537" customWidth="1"/>
    <col min="4611" max="4611" width="33.140625" style="537" customWidth="1"/>
    <col min="4612" max="4612" width="105" style="537" bestFit="1" customWidth="1"/>
    <col min="4613" max="4613" width="9.140625" style="537"/>
    <col min="4614" max="4614" width="9.28515625" style="537" customWidth="1"/>
    <col min="4615" max="4864" width="9.140625" style="537"/>
    <col min="4865" max="4865" width="16.5703125" style="537" bestFit="1" customWidth="1"/>
    <col min="4866" max="4866" width="13.140625" style="537" customWidth="1"/>
    <col min="4867" max="4867" width="33.140625" style="537" customWidth="1"/>
    <col min="4868" max="4868" width="105" style="537" bestFit="1" customWidth="1"/>
    <col min="4869" max="4869" width="9.140625" style="537"/>
    <col min="4870" max="4870" width="9.28515625" style="537" customWidth="1"/>
    <col min="4871" max="5120" width="9.140625" style="537"/>
    <col min="5121" max="5121" width="16.5703125" style="537" bestFit="1" customWidth="1"/>
    <col min="5122" max="5122" width="13.140625" style="537" customWidth="1"/>
    <col min="5123" max="5123" width="33.140625" style="537" customWidth="1"/>
    <col min="5124" max="5124" width="105" style="537" bestFit="1" customWidth="1"/>
    <col min="5125" max="5125" width="9.140625" style="537"/>
    <col min="5126" max="5126" width="9.28515625" style="537" customWidth="1"/>
    <col min="5127" max="5376" width="9.140625" style="537"/>
    <col min="5377" max="5377" width="16.5703125" style="537" bestFit="1" customWidth="1"/>
    <col min="5378" max="5378" width="13.140625" style="537" customWidth="1"/>
    <col min="5379" max="5379" width="33.140625" style="537" customWidth="1"/>
    <col min="5380" max="5380" width="105" style="537" bestFit="1" customWidth="1"/>
    <col min="5381" max="5381" width="9.140625" style="537"/>
    <col min="5382" max="5382" width="9.28515625" style="537" customWidth="1"/>
    <col min="5383" max="5632" width="9.140625" style="537"/>
    <col min="5633" max="5633" width="16.5703125" style="537" bestFit="1" customWidth="1"/>
    <col min="5634" max="5634" width="13.140625" style="537" customWidth="1"/>
    <col min="5635" max="5635" width="33.140625" style="537" customWidth="1"/>
    <col min="5636" max="5636" width="105" style="537" bestFit="1" customWidth="1"/>
    <col min="5637" max="5637" width="9.140625" style="537"/>
    <col min="5638" max="5638" width="9.28515625" style="537" customWidth="1"/>
    <col min="5639" max="5888" width="9.140625" style="537"/>
    <col min="5889" max="5889" width="16.5703125" style="537" bestFit="1" customWidth="1"/>
    <col min="5890" max="5890" width="13.140625" style="537" customWidth="1"/>
    <col min="5891" max="5891" width="33.140625" style="537" customWidth="1"/>
    <col min="5892" max="5892" width="105" style="537" bestFit="1" customWidth="1"/>
    <col min="5893" max="5893" width="9.140625" style="537"/>
    <col min="5894" max="5894" width="9.28515625" style="537" customWidth="1"/>
    <col min="5895" max="6144" width="9.140625" style="537"/>
    <col min="6145" max="6145" width="16.5703125" style="537" bestFit="1" customWidth="1"/>
    <col min="6146" max="6146" width="13.140625" style="537" customWidth="1"/>
    <col min="6147" max="6147" width="33.140625" style="537" customWidth="1"/>
    <col min="6148" max="6148" width="105" style="537" bestFit="1" customWidth="1"/>
    <col min="6149" max="6149" width="9.140625" style="537"/>
    <col min="6150" max="6150" width="9.28515625" style="537" customWidth="1"/>
    <col min="6151" max="6400" width="9.140625" style="537"/>
    <col min="6401" max="6401" width="16.5703125" style="537" bestFit="1" customWidth="1"/>
    <col min="6402" max="6402" width="13.140625" style="537" customWidth="1"/>
    <col min="6403" max="6403" width="33.140625" style="537" customWidth="1"/>
    <col min="6404" max="6404" width="105" style="537" bestFit="1" customWidth="1"/>
    <col min="6405" max="6405" width="9.140625" style="537"/>
    <col min="6406" max="6406" width="9.28515625" style="537" customWidth="1"/>
    <col min="6407" max="6656" width="9.140625" style="537"/>
    <col min="6657" max="6657" width="16.5703125" style="537" bestFit="1" customWidth="1"/>
    <col min="6658" max="6658" width="13.140625" style="537" customWidth="1"/>
    <col min="6659" max="6659" width="33.140625" style="537" customWidth="1"/>
    <col min="6660" max="6660" width="105" style="537" bestFit="1" customWidth="1"/>
    <col min="6661" max="6661" width="9.140625" style="537"/>
    <col min="6662" max="6662" width="9.28515625" style="537" customWidth="1"/>
    <col min="6663" max="6912" width="9.140625" style="537"/>
    <col min="6913" max="6913" width="16.5703125" style="537" bestFit="1" customWidth="1"/>
    <col min="6914" max="6914" width="13.140625" style="537" customWidth="1"/>
    <col min="6915" max="6915" width="33.140625" style="537" customWidth="1"/>
    <col min="6916" max="6916" width="105" style="537" bestFit="1" customWidth="1"/>
    <col min="6917" max="6917" width="9.140625" style="537"/>
    <col min="6918" max="6918" width="9.28515625" style="537" customWidth="1"/>
    <col min="6919" max="7168" width="9.140625" style="537"/>
    <col min="7169" max="7169" width="16.5703125" style="537" bestFit="1" customWidth="1"/>
    <col min="7170" max="7170" width="13.140625" style="537" customWidth="1"/>
    <col min="7171" max="7171" width="33.140625" style="537" customWidth="1"/>
    <col min="7172" max="7172" width="105" style="537" bestFit="1" customWidth="1"/>
    <col min="7173" max="7173" width="9.140625" style="537"/>
    <col min="7174" max="7174" width="9.28515625" style="537" customWidth="1"/>
    <col min="7175" max="7424" width="9.140625" style="537"/>
    <col min="7425" max="7425" width="16.5703125" style="537" bestFit="1" customWidth="1"/>
    <col min="7426" max="7426" width="13.140625" style="537" customWidth="1"/>
    <col min="7427" max="7427" width="33.140625" style="537" customWidth="1"/>
    <col min="7428" max="7428" width="105" style="537" bestFit="1" customWidth="1"/>
    <col min="7429" max="7429" width="9.140625" style="537"/>
    <col min="7430" max="7430" width="9.28515625" style="537" customWidth="1"/>
    <col min="7431" max="7680" width="9.140625" style="537"/>
    <col min="7681" max="7681" width="16.5703125" style="537" bestFit="1" customWidth="1"/>
    <col min="7682" max="7682" width="13.140625" style="537" customWidth="1"/>
    <col min="7683" max="7683" width="33.140625" style="537" customWidth="1"/>
    <col min="7684" max="7684" width="105" style="537" bestFit="1" customWidth="1"/>
    <col min="7685" max="7685" width="9.140625" style="537"/>
    <col min="7686" max="7686" width="9.28515625" style="537" customWidth="1"/>
    <col min="7687" max="7936" width="9.140625" style="537"/>
    <col min="7937" max="7937" width="16.5703125" style="537" bestFit="1" customWidth="1"/>
    <col min="7938" max="7938" width="13.140625" style="537" customWidth="1"/>
    <col min="7939" max="7939" width="33.140625" style="537" customWidth="1"/>
    <col min="7940" max="7940" width="105" style="537" bestFit="1" customWidth="1"/>
    <col min="7941" max="7941" width="9.140625" style="537"/>
    <col min="7942" max="7942" width="9.28515625" style="537" customWidth="1"/>
    <col min="7943" max="8192" width="9.140625" style="537"/>
    <col min="8193" max="8193" width="16.5703125" style="537" bestFit="1" customWidth="1"/>
    <col min="8194" max="8194" width="13.140625" style="537" customWidth="1"/>
    <col min="8195" max="8195" width="33.140625" style="537" customWidth="1"/>
    <col min="8196" max="8196" width="105" style="537" bestFit="1" customWidth="1"/>
    <col min="8197" max="8197" width="9.140625" style="537"/>
    <col min="8198" max="8198" width="9.28515625" style="537" customWidth="1"/>
    <col min="8199" max="8448" width="9.140625" style="537"/>
    <col min="8449" max="8449" width="16.5703125" style="537" bestFit="1" customWidth="1"/>
    <col min="8450" max="8450" width="13.140625" style="537" customWidth="1"/>
    <col min="8451" max="8451" width="33.140625" style="537" customWidth="1"/>
    <col min="8452" max="8452" width="105" style="537" bestFit="1" customWidth="1"/>
    <col min="8453" max="8453" width="9.140625" style="537"/>
    <col min="8454" max="8454" width="9.28515625" style="537" customWidth="1"/>
    <col min="8455" max="8704" width="9.140625" style="537"/>
    <col min="8705" max="8705" width="16.5703125" style="537" bestFit="1" customWidth="1"/>
    <col min="8706" max="8706" width="13.140625" style="537" customWidth="1"/>
    <col min="8707" max="8707" width="33.140625" style="537" customWidth="1"/>
    <col min="8708" max="8708" width="105" style="537" bestFit="1" customWidth="1"/>
    <col min="8709" max="8709" width="9.140625" style="537"/>
    <col min="8710" max="8710" width="9.28515625" style="537" customWidth="1"/>
    <col min="8711" max="8960" width="9.140625" style="537"/>
    <col min="8961" max="8961" width="16.5703125" style="537" bestFit="1" customWidth="1"/>
    <col min="8962" max="8962" width="13.140625" style="537" customWidth="1"/>
    <col min="8963" max="8963" width="33.140625" style="537" customWidth="1"/>
    <col min="8964" max="8964" width="105" style="537" bestFit="1" customWidth="1"/>
    <col min="8965" max="8965" width="9.140625" style="537"/>
    <col min="8966" max="8966" width="9.28515625" style="537" customWidth="1"/>
    <col min="8967" max="9216" width="9.140625" style="537"/>
    <col min="9217" max="9217" width="16.5703125" style="537" bestFit="1" customWidth="1"/>
    <col min="9218" max="9218" width="13.140625" style="537" customWidth="1"/>
    <col min="9219" max="9219" width="33.140625" style="537" customWidth="1"/>
    <col min="9220" max="9220" width="105" style="537" bestFit="1" customWidth="1"/>
    <col min="9221" max="9221" width="9.140625" style="537"/>
    <col min="9222" max="9222" width="9.28515625" style="537" customWidth="1"/>
    <col min="9223" max="9472" width="9.140625" style="537"/>
    <col min="9473" max="9473" width="16.5703125" style="537" bestFit="1" customWidth="1"/>
    <col min="9474" max="9474" width="13.140625" style="537" customWidth="1"/>
    <col min="9475" max="9475" width="33.140625" style="537" customWidth="1"/>
    <col min="9476" max="9476" width="105" style="537" bestFit="1" customWidth="1"/>
    <col min="9477" max="9477" width="9.140625" style="537"/>
    <col min="9478" max="9478" width="9.28515625" style="537" customWidth="1"/>
    <col min="9479" max="9728" width="9.140625" style="537"/>
    <col min="9729" max="9729" width="16.5703125" style="537" bestFit="1" customWidth="1"/>
    <col min="9730" max="9730" width="13.140625" style="537" customWidth="1"/>
    <col min="9731" max="9731" width="33.140625" style="537" customWidth="1"/>
    <col min="9732" max="9732" width="105" style="537" bestFit="1" customWidth="1"/>
    <col min="9733" max="9733" width="9.140625" style="537"/>
    <col min="9734" max="9734" width="9.28515625" style="537" customWidth="1"/>
    <col min="9735" max="9984" width="9.140625" style="537"/>
    <col min="9985" max="9985" width="16.5703125" style="537" bestFit="1" customWidth="1"/>
    <col min="9986" max="9986" width="13.140625" style="537" customWidth="1"/>
    <col min="9987" max="9987" width="33.140625" style="537" customWidth="1"/>
    <col min="9988" max="9988" width="105" style="537" bestFit="1" customWidth="1"/>
    <col min="9989" max="9989" width="9.140625" style="537"/>
    <col min="9990" max="9990" width="9.28515625" style="537" customWidth="1"/>
    <col min="9991" max="10240" width="9.140625" style="537"/>
    <col min="10241" max="10241" width="16.5703125" style="537" bestFit="1" customWidth="1"/>
    <col min="10242" max="10242" width="13.140625" style="537" customWidth="1"/>
    <col min="10243" max="10243" width="33.140625" style="537" customWidth="1"/>
    <col min="10244" max="10244" width="105" style="537" bestFit="1" customWidth="1"/>
    <col min="10245" max="10245" width="9.140625" style="537"/>
    <col min="10246" max="10246" width="9.28515625" style="537" customWidth="1"/>
    <col min="10247" max="10496" width="9.140625" style="537"/>
    <col min="10497" max="10497" width="16.5703125" style="537" bestFit="1" customWidth="1"/>
    <col min="10498" max="10498" width="13.140625" style="537" customWidth="1"/>
    <col min="10499" max="10499" width="33.140625" style="537" customWidth="1"/>
    <col min="10500" max="10500" width="105" style="537" bestFit="1" customWidth="1"/>
    <col min="10501" max="10501" width="9.140625" style="537"/>
    <col min="10502" max="10502" width="9.28515625" style="537" customWidth="1"/>
    <col min="10503" max="10752" width="9.140625" style="537"/>
    <col min="10753" max="10753" width="16.5703125" style="537" bestFit="1" customWidth="1"/>
    <col min="10754" max="10754" width="13.140625" style="537" customWidth="1"/>
    <col min="10755" max="10755" width="33.140625" style="537" customWidth="1"/>
    <col min="10756" max="10756" width="105" style="537" bestFit="1" customWidth="1"/>
    <col min="10757" max="10757" width="9.140625" style="537"/>
    <col min="10758" max="10758" width="9.28515625" style="537" customWidth="1"/>
    <col min="10759" max="11008" width="9.140625" style="537"/>
    <col min="11009" max="11009" width="16.5703125" style="537" bestFit="1" customWidth="1"/>
    <col min="11010" max="11010" width="13.140625" style="537" customWidth="1"/>
    <col min="11011" max="11011" width="33.140625" style="537" customWidth="1"/>
    <col min="11012" max="11012" width="105" style="537" bestFit="1" customWidth="1"/>
    <col min="11013" max="11013" width="9.140625" style="537"/>
    <col min="11014" max="11014" width="9.28515625" style="537" customWidth="1"/>
    <col min="11015" max="11264" width="9.140625" style="537"/>
    <col min="11265" max="11265" width="16.5703125" style="537" bestFit="1" customWidth="1"/>
    <col min="11266" max="11266" width="13.140625" style="537" customWidth="1"/>
    <col min="11267" max="11267" width="33.140625" style="537" customWidth="1"/>
    <col min="11268" max="11268" width="105" style="537" bestFit="1" customWidth="1"/>
    <col min="11269" max="11269" width="9.140625" style="537"/>
    <col min="11270" max="11270" width="9.28515625" style="537" customWidth="1"/>
    <col min="11271" max="11520" width="9.140625" style="537"/>
    <col min="11521" max="11521" width="16.5703125" style="537" bestFit="1" customWidth="1"/>
    <col min="11522" max="11522" width="13.140625" style="537" customWidth="1"/>
    <col min="11523" max="11523" width="33.140625" style="537" customWidth="1"/>
    <col min="11524" max="11524" width="105" style="537" bestFit="1" customWidth="1"/>
    <col min="11525" max="11525" width="9.140625" style="537"/>
    <col min="11526" max="11526" width="9.28515625" style="537" customWidth="1"/>
    <col min="11527" max="11776" width="9.140625" style="537"/>
    <col min="11777" max="11777" width="16.5703125" style="537" bestFit="1" customWidth="1"/>
    <col min="11778" max="11778" width="13.140625" style="537" customWidth="1"/>
    <col min="11779" max="11779" width="33.140625" style="537" customWidth="1"/>
    <col min="11780" max="11780" width="105" style="537" bestFit="1" customWidth="1"/>
    <col min="11781" max="11781" width="9.140625" style="537"/>
    <col min="11782" max="11782" width="9.28515625" style="537" customWidth="1"/>
    <col min="11783" max="12032" width="9.140625" style="537"/>
    <col min="12033" max="12033" width="16.5703125" style="537" bestFit="1" customWidth="1"/>
    <col min="12034" max="12034" width="13.140625" style="537" customWidth="1"/>
    <col min="12035" max="12035" width="33.140625" style="537" customWidth="1"/>
    <col min="12036" max="12036" width="105" style="537" bestFit="1" customWidth="1"/>
    <col min="12037" max="12037" width="9.140625" style="537"/>
    <col min="12038" max="12038" width="9.28515625" style="537" customWidth="1"/>
    <col min="12039" max="12288" width="9.140625" style="537"/>
    <col min="12289" max="12289" width="16.5703125" style="537" bestFit="1" customWidth="1"/>
    <col min="12290" max="12290" width="13.140625" style="537" customWidth="1"/>
    <col min="12291" max="12291" width="33.140625" style="537" customWidth="1"/>
    <col min="12292" max="12292" width="105" style="537" bestFit="1" customWidth="1"/>
    <col min="12293" max="12293" width="9.140625" style="537"/>
    <col min="12294" max="12294" width="9.28515625" style="537" customWidth="1"/>
    <col min="12295" max="12544" width="9.140625" style="537"/>
    <col min="12545" max="12545" width="16.5703125" style="537" bestFit="1" customWidth="1"/>
    <col min="12546" max="12546" width="13.140625" style="537" customWidth="1"/>
    <col min="12547" max="12547" width="33.140625" style="537" customWidth="1"/>
    <col min="12548" max="12548" width="105" style="537" bestFit="1" customWidth="1"/>
    <col min="12549" max="12549" width="9.140625" style="537"/>
    <col min="12550" max="12550" width="9.28515625" style="537" customWidth="1"/>
    <col min="12551" max="12800" width="9.140625" style="537"/>
    <col min="12801" max="12801" width="16.5703125" style="537" bestFit="1" customWidth="1"/>
    <col min="12802" max="12802" width="13.140625" style="537" customWidth="1"/>
    <col min="12803" max="12803" width="33.140625" style="537" customWidth="1"/>
    <col min="12804" max="12804" width="105" style="537" bestFit="1" customWidth="1"/>
    <col min="12805" max="12805" width="9.140625" style="537"/>
    <col min="12806" max="12806" width="9.28515625" style="537" customWidth="1"/>
    <col min="12807" max="13056" width="9.140625" style="537"/>
    <col min="13057" max="13057" width="16.5703125" style="537" bestFit="1" customWidth="1"/>
    <col min="13058" max="13058" width="13.140625" style="537" customWidth="1"/>
    <col min="13059" max="13059" width="33.140625" style="537" customWidth="1"/>
    <col min="13060" max="13060" width="105" style="537" bestFit="1" customWidth="1"/>
    <col min="13061" max="13061" width="9.140625" style="537"/>
    <col min="13062" max="13062" width="9.28515625" style="537" customWidth="1"/>
    <col min="13063" max="13312" width="9.140625" style="537"/>
    <col min="13313" max="13313" width="16.5703125" style="537" bestFit="1" customWidth="1"/>
    <col min="13314" max="13314" width="13.140625" style="537" customWidth="1"/>
    <col min="13315" max="13315" width="33.140625" style="537" customWidth="1"/>
    <col min="13316" max="13316" width="105" style="537" bestFit="1" customWidth="1"/>
    <col min="13317" max="13317" width="9.140625" style="537"/>
    <col min="13318" max="13318" width="9.28515625" style="537" customWidth="1"/>
    <col min="13319" max="13568" width="9.140625" style="537"/>
    <col min="13569" max="13569" width="16.5703125" style="537" bestFit="1" customWidth="1"/>
    <col min="13570" max="13570" width="13.140625" style="537" customWidth="1"/>
    <col min="13571" max="13571" width="33.140625" style="537" customWidth="1"/>
    <col min="13572" max="13572" width="105" style="537" bestFit="1" customWidth="1"/>
    <col min="13573" max="13573" width="9.140625" style="537"/>
    <col min="13574" max="13574" width="9.28515625" style="537" customWidth="1"/>
    <col min="13575" max="13824" width="9.140625" style="537"/>
    <col min="13825" max="13825" width="16.5703125" style="537" bestFit="1" customWidth="1"/>
    <col min="13826" max="13826" width="13.140625" style="537" customWidth="1"/>
    <col min="13827" max="13827" width="33.140625" style="537" customWidth="1"/>
    <col min="13828" max="13828" width="105" style="537" bestFit="1" customWidth="1"/>
    <col min="13829" max="13829" width="9.140625" style="537"/>
    <col min="13830" max="13830" width="9.28515625" style="537" customWidth="1"/>
    <col min="13831" max="14080" width="9.140625" style="537"/>
    <col min="14081" max="14081" width="16.5703125" style="537" bestFit="1" customWidth="1"/>
    <col min="14082" max="14082" width="13.140625" style="537" customWidth="1"/>
    <col min="14083" max="14083" width="33.140625" style="537" customWidth="1"/>
    <col min="14084" max="14084" width="105" style="537" bestFit="1" customWidth="1"/>
    <col min="14085" max="14085" width="9.140625" style="537"/>
    <col min="14086" max="14086" width="9.28515625" style="537" customWidth="1"/>
    <col min="14087" max="14336" width="9.140625" style="537"/>
    <col min="14337" max="14337" width="16.5703125" style="537" bestFit="1" customWidth="1"/>
    <col min="14338" max="14338" width="13.140625" style="537" customWidth="1"/>
    <col min="14339" max="14339" width="33.140625" style="537" customWidth="1"/>
    <col min="14340" max="14340" width="105" style="537" bestFit="1" customWidth="1"/>
    <col min="14341" max="14341" width="9.140625" style="537"/>
    <col min="14342" max="14342" width="9.28515625" style="537" customWidth="1"/>
    <col min="14343" max="14592" width="9.140625" style="537"/>
    <col min="14593" max="14593" width="16.5703125" style="537" bestFit="1" customWidth="1"/>
    <col min="14594" max="14594" width="13.140625" style="537" customWidth="1"/>
    <col min="14595" max="14595" width="33.140625" style="537" customWidth="1"/>
    <col min="14596" max="14596" width="105" style="537" bestFit="1" customWidth="1"/>
    <col min="14597" max="14597" width="9.140625" style="537"/>
    <col min="14598" max="14598" width="9.28515625" style="537" customWidth="1"/>
    <col min="14599" max="14848" width="9.140625" style="537"/>
    <col min="14849" max="14849" width="16.5703125" style="537" bestFit="1" customWidth="1"/>
    <col min="14850" max="14850" width="13.140625" style="537" customWidth="1"/>
    <col min="14851" max="14851" width="33.140625" style="537" customWidth="1"/>
    <col min="14852" max="14852" width="105" style="537" bestFit="1" customWidth="1"/>
    <col min="14853" max="14853" width="9.140625" style="537"/>
    <col min="14854" max="14854" width="9.28515625" style="537" customWidth="1"/>
    <col min="14855" max="15104" width="9.140625" style="537"/>
    <col min="15105" max="15105" width="16.5703125" style="537" bestFit="1" customWidth="1"/>
    <col min="15106" max="15106" width="13.140625" style="537" customWidth="1"/>
    <col min="15107" max="15107" width="33.140625" style="537" customWidth="1"/>
    <col min="15108" max="15108" width="105" style="537" bestFit="1" customWidth="1"/>
    <col min="15109" max="15109" width="9.140625" style="537"/>
    <col min="15110" max="15110" width="9.28515625" style="537" customWidth="1"/>
    <col min="15111" max="15360" width="9.140625" style="537"/>
    <col min="15361" max="15361" width="16.5703125" style="537" bestFit="1" customWidth="1"/>
    <col min="15362" max="15362" width="13.140625" style="537" customWidth="1"/>
    <col min="15363" max="15363" width="33.140625" style="537" customWidth="1"/>
    <col min="15364" max="15364" width="105" style="537" bestFit="1" customWidth="1"/>
    <col min="15365" max="15365" width="9.140625" style="537"/>
    <col min="15366" max="15366" width="9.28515625" style="537" customWidth="1"/>
    <col min="15367" max="15616" width="9.140625" style="537"/>
    <col min="15617" max="15617" width="16.5703125" style="537" bestFit="1" customWidth="1"/>
    <col min="15618" max="15618" width="13.140625" style="537" customWidth="1"/>
    <col min="15619" max="15619" width="33.140625" style="537" customWidth="1"/>
    <col min="15620" max="15620" width="105" style="537" bestFit="1" customWidth="1"/>
    <col min="15621" max="15621" width="9.140625" style="537"/>
    <col min="15622" max="15622" width="9.28515625" style="537" customWidth="1"/>
    <col min="15623" max="15872" width="9.140625" style="537"/>
    <col min="15873" max="15873" width="16.5703125" style="537" bestFit="1" customWidth="1"/>
    <col min="15874" max="15874" width="13.140625" style="537" customWidth="1"/>
    <col min="15875" max="15875" width="33.140625" style="537" customWidth="1"/>
    <col min="15876" max="15876" width="105" style="537" bestFit="1" customWidth="1"/>
    <col min="15877" max="15877" width="9.140625" style="537"/>
    <col min="15878" max="15878" width="9.28515625" style="537" customWidth="1"/>
    <col min="15879" max="16128" width="9.140625" style="537"/>
    <col min="16129" max="16129" width="16.5703125" style="537" bestFit="1" customWidth="1"/>
    <col min="16130" max="16130" width="13.140625" style="537" customWidth="1"/>
    <col min="16131" max="16131" width="33.140625" style="537" customWidth="1"/>
    <col min="16132" max="16132" width="105" style="537" bestFit="1" customWidth="1"/>
    <col min="16133" max="16133" width="9.140625" style="537"/>
    <col min="16134" max="16134" width="9.28515625" style="537" customWidth="1"/>
    <col min="16135" max="16384" width="9.140625" style="537"/>
  </cols>
  <sheetData>
    <row r="1" spans="1:8" s="579" customFormat="1" ht="18.75" x14ac:dyDescent="0.3">
      <c r="A1" s="570" t="s">
        <v>331</v>
      </c>
      <c r="C1" s="580"/>
      <c r="D1" s="581" t="s">
        <v>332</v>
      </c>
      <c r="E1" s="673">
        <v>44743</v>
      </c>
      <c r="F1" s="582"/>
      <c r="G1" s="582"/>
      <c r="H1" s="583"/>
    </row>
    <row r="2" spans="1:8" ht="15" x14ac:dyDescent="0.25">
      <c r="A2" s="612" t="s">
        <v>62</v>
      </c>
      <c r="D2" s="584"/>
      <c r="E2" s="584"/>
      <c r="F2" s="584"/>
      <c r="G2" s="584"/>
      <c r="H2" s="584"/>
    </row>
    <row r="3" spans="1:8" x14ac:dyDescent="0.2">
      <c r="A3" s="585"/>
      <c r="B3" s="585"/>
      <c r="C3" s="584"/>
      <c r="D3" s="584"/>
      <c r="E3" s="584"/>
      <c r="F3" s="584"/>
      <c r="G3" s="584"/>
      <c r="H3" s="584"/>
    </row>
    <row r="4" spans="1:8" ht="13.5" thickBot="1" x14ac:dyDescent="0.25">
      <c r="A4" s="585"/>
      <c r="B4" s="585"/>
      <c r="C4" s="584"/>
      <c r="D4" s="584"/>
      <c r="E4" s="584"/>
      <c r="F4" s="584"/>
      <c r="G4" s="584"/>
      <c r="H4" s="584"/>
    </row>
    <row r="5" spans="1:8" ht="21.75" thickBot="1" x14ac:dyDescent="0.25">
      <c r="A5" s="586"/>
      <c r="B5" s="587"/>
      <c r="C5" s="817" t="s">
        <v>333</v>
      </c>
      <c r="D5" s="818"/>
    </row>
    <row r="6" spans="1:8" ht="13.5" thickBot="1" x14ac:dyDescent="0.25">
      <c r="A6" s="588" t="s">
        <v>334</v>
      </c>
      <c r="B6" s="589" t="s">
        <v>335</v>
      </c>
      <c r="C6" s="590" t="s">
        <v>336</v>
      </c>
      <c r="D6" s="591" t="s">
        <v>337</v>
      </c>
      <c r="G6" s="576"/>
    </row>
    <row r="7" spans="1:8" ht="13.5" thickBot="1" x14ac:dyDescent="0.25">
      <c r="A7" s="812" t="s">
        <v>338</v>
      </c>
      <c r="B7" s="812" t="s">
        <v>339</v>
      </c>
      <c r="C7" s="812" t="s">
        <v>340</v>
      </c>
      <c r="D7" s="588" t="s">
        <v>341</v>
      </c>
      <c r="G7" s="576"/>
    </row>
    <row r="8" spans="1:8" x14ac:dyDescent="0.2">
      <c r="A8" s="813"/>
      <c r="B8" s="813"/>
      <c r="C8" s="813"/>
      <c r="D8" s="592" t="s">
        <v>342</v>
      </c>
      <c r="G8" s="576"/>
    </row>
    <row r="9" spans="1:8" ht="13.5" thickBot="1" x14ac:dyDescent="0.25">
      <c r="A9" s="813"/>
      <c r="B9" s="813"/>
      <c r="C9" s="814"/>
      <c r="D9" s="592" t="s">
        <v>343</v>
      </c>
      <c r="G9" s="576"/>
    </row>
    <row r="10" spans="1:8" ht="13.5" thickBot="1" x14ac:dyDescent="0.25">
      <c r="A10" s="813"/>
      <c r="B10" s="813"/>
      <c r="C10" s="812" t="s">
        <v>344</v>
      </c>
      <c r="D10" s="588" t="s">
        <v>345</v>
      </c>
      <c r="G10" s="576"/>
    </row>
    <row r="11" spans="1:8" x14ac:dyDescent="0.2">
      <c r="A11" s="813"/>
      <c r="B11" s="813"/>
      <c r="C11" s="819"/>
      <c r="D11" s="594" t="s">
        <v>346</v>
      </c>
      <c r="G11" s="576"/>
    </row>
    <row r="12" spans="1:8" x14ac:dyDescent="0.2">
      <c r="A12" s="813"/>
      <c r="B12" s="813"/>
      <c r="C12" s="819"/>
      <c r="D12" s="594" t="s">
        <v>347</v>
      </c>
      <c r="G12" s="576"/>
    </row>
    <row r="13" spans="1:8" x14ac:dyDescent="0.2">
      <c r="A13" s="813"/>
      <c r="B13" s="813"/>
      <c r="C13" s="819"/>
      <c r="D13" s="594" t="s">
        <v>348</v>
      </c>
      <c r="G13" s="576"/>
    </row>
    <row r="14" spans="1:8" x14ac:dyDescent="0.2">
      <c r="A14" s="813"/>
      <c r="B14" s="813"/>
      <c r="C14" s="819"/>
      <c r="D14" s="594" t="s">
        <v>349</v>
      </c>
      <c r="G14" s="576"/>
    </row>
    <row r="15" spans="1:8" x14ac:dyDescent="0.2">
      <c r="A15" s="813"/>
      <c r="B15" s="813"/>
      <c r="C15" s="819"/>
      <c r="D15" s="594" t="s">
        <v>350</v>
      </c>
      <c r="G15" s="576"/>
    </row>
    <row r="16" spans="1:8" x14ac:dyDescent="0.2">
      <c r="A16" s="813"/>
      <c r="B16" s="813"/>
      <c r="C16" s="819"/>
      <c r="D16" s="594" t="s">
        <v>351</v>
      </c>
      <c r="F16" s="578"/>
    </row>
    <row r="17" spans="1:7" x14ac:dyDescent="0.2">
      <c r="A17" s="813"/>
      <c r="B17" s="813"/>
      <c r="C17" s="819"/>
      <c r="D17" s="599" t="s">
        <v>352</v>
      </c>
      <c r="F17" s="578"/>
    </row>
    <row r="18" spans="1:7" x14ac:dyDescent="0.2">
      <c r="A18" s="813"/>
      <c r="B18" s="813"/>
      <c r="C18" s="819"/>
      <c r="D18" s="594" t="s">
        <v>353</v>
      </c>
      <c r="F18" s="578"/>
    </row>
    <row r="19" spans="1:7" ht="15" x14ac:dyDescent="0.25">
      <c r="A19" s="813"/>
      <c r="B19" s="813"/>
      <c r="C19" s="819"/>
      <c r="D19" s="594" t="s">
        <v>354</v>
      </c>
      <c r="F19" s="578"/>
      <c r="G19" s="595"/>
    </row>
    <row r="20" spans="1:7" ht="13.5" thickBot="1" x14ac:dyDescent="0.25">
      <c r="A20" s="813"/>
      <c r="B20" s="813"/>
      <c r="C20" s="819"/>
      <c r="D20" s="594" t="s">
        <v>355</v>
      </c>
      <c r="F20" s="578"/>
    </row>
    <row r="21" spans="1:7" x14ac:dyDescent="0.2">
      <c r="A21" s="813"/>
      <c r="B21" s="813"/>
      <c r="C21" s="819"/>
      <c r="D21" s="593" t="s">
        <v>356</v>
      </c>
      <c r="F21" s="578"/>
    </row>
    <row r="22" spans="1:7" ht="15" x14ac:dyDescent="0.25">
      <c r="A22" s="813"/>
      <c r="B22" s="813"/>
      <c r="C22" s="819"/>
      <c r="D22" s="594" t="s">
        <v>357</v>
      </c>
      <c r="F22" s="578"/>
      <c r="G22" s="595"/>
    </row>
    <row r="23" spans="1:7" ht="13.5" thickBot="1" x14ac:dyDescent="0.25">
      <c r="A23" s="813"/>
      <c r="B23" s="813"/>
      <c r="C23" s="819"/>
      <c r="D23" s="596" t="s">
        <v>358</v>
      </c>
      <c r="F23" s="578"/>
    </row>
    <row r="24" spans="1:7" ht="13.5" thickBot="1" x14ac:dyDescent="0.25">
      <c r="A24" s="813"/>
      <c r="B24" s="813"/>
      <c r="C24" s="812" t="s">
        <v>359</v>
      </c>
      <c r="D24" s="588" t="s">
        <v>360</v>
      </c>
    </row>
    <row r="25" spans="1:7" ht="15" x14ac:dyDescent="0.25">
      <c r="A25" s="813"/>
      <c r="B25" s="813"/>
      <c r="C25" s="819"/>
      <c r="D25" s="593" t="s">
        <v>361</v>
      </c>
      <c r="F25" s="578"/>
      <c r="G25" s="595"/>
    </row>
    <row r="26" spans="1:7" ht="15" x14ac:dyDescent="0.25">
      <c r="A26" s="813"/>
      <c r="B26" s="813"/>
      <c r="C26" s="819"/>
      <c r="D26" s="599" t="s">
        <v>362</v>
      </c>
      <c r="F26" s="677"/>
      <c r="G26" s="595"/>
    </row>
    <row r="27" spans="1:7" ht="15" x14ac:dyDescent="0.25">
      <c r="A27" s="813"/>
      <c r="B27" s="813"/>
      <c r="C27" s="819"/>
      <c r="D27" s="599" t="s">
        <v>363</v>
      </c>
      <c r="F27" s="677"/>
      <c r="G27" s="595"/>
    </row>
    <row r="28" spans="1:7" ht="15" x14ac:dyDescent="0.25">
      <c r="A28" s="813"/>
      <c r="B28" s="813"/>
      <c r="C28" s="819"/>
      <c r="D28" s="594" t="s">
        <v>364</v>
      </c>
      <c r="F28" s="677"/>
      <c r="G28" s="595"/>
    </row>
    <row r="29" spans="1:7" ht="15" x14ac:dyDescent="0.25">
      <c r="A29" s="813"/>
      <c r="B29" s="813"/>
      <c r="C29" s="819"/>
      <c r="D29" s="594" t="s">
        <v>365</v>
      </c>
      <c r="F29" s="677"/>
      <c r="G29" s="595"/>
    </row>
    <row r="30" spans="1:7" ht="15" x14ac:dyDescent="0.25">
      <c r="A30" s="813"/>
      <c r="B30" s="813"/>
      <c r="C30" s="819"/>
      <c r="D30" s="594" t="s">
        <v>366</v>
      </c>
      <c r="F30" s="677"/>
      <c r="G30" s="595"/>
    </row>
    <row r="31" spans="1:7" ht="15" x14ac:dyDescent="0.25">
      <c r="A31" s="813"/>
      <c r="B31" s="813"/>
      <c r="C31" s="819"/>
      <c r="D31" s="596" t="s">
        <v>367</v>
      </c>
      <c r="F31" s="676"/>
      <c r="G31" s="595"/>
    </row>
    <row r="32" spans="1:7" ht="15" x14ac:dyDescent="0.25">
      <c r="A32" s="813"/>
      <c r="B32" s="813"/>
      <c r="C32" s="819"/>
      <c r="D32" s="596" t="s">
        <v>368</v>
      </c>
      <c r="F32" s="677"/>
      <c r="G32" s="595"/>
    </row>
    <row r="33" spans="1:7" ht="15.75" thickBot="1" x14ac:dyDescent="0.3">
      <c r="A33" s="813"/>
      <c r="B33" s="813"/>
      <c r="C33" s="819"/>
      <c r="D33" s="597" t="s">
        <v>369</v>
      </c>
      <c r="F33" s="677"/>
      <c r="G33" s="595"/>
    </row>
    <row r="34" spans="1:7" ht="13.5" thickBot="1" x14ac:dyDescent="0.25">
      <c r="A34" s="813"/>
      <c r="B34" s="813"/>
      <c r="C34" s="812" t="s">
        <v>370</v>
      </c>
      <c r="D34" s="598" t="s">
        <v>371</v>
      </c>
    </row>
    <row r="35" spans="1:7" x14ac:dyDescent="0.2">
      <c r="A35" s="813"/>
      <c r="B35" s="813"/>
      <c r="C35" s="819"/>
      <c r="D35" s="593" t="s">
        <v>372</v>
      </c>
    </row>
    <row r="36" spans="1:7" x14ac:dyDescent="0.2">
      <c r="A36" s="813"/>
      <c r="B36" s="813"/>
      <c r="C36" s="819"/>
      <c r="D36" s="594" t="s">
        <v>373</v>
      </c>
    </row>
    <row r="37" spans="1:7" x14ac:dyDescent="0.2">
      <c r="A37" s="813"/>
      <c r="B37" s="813"/>
      <c r="C37" s="819"/>
      <c r="D37" s="594" t="s">
        <v>374</v>
      </c>
    </row>
    <row r="38" spans="1:7" x14ac:dyDescent="0.2">
      <c r="A38" s="813"/>
      <c r="B38" s="813"/>
      <c r="C38" s="819"/>
      <c r="D38" s="594" t="s">
        <v>375</v>
      </c>
    </row>
    <row r="39" spans="1:7" x14ac:dyDescent="0.2">
      <c r="A39" s="813"/>
      <c r="B39" s="813"/>
      <c r="C39" s="819"/>
      <c r="D39" s="594" t="s">
        <v>376</v>
      </c>
    </row>
    <row r="40" spans="1:7" x14ac:dyDescent="0.2">
      <c r="A40" s="813"/>
      <c r="B40" s="813"/>
      <c r="C40" s="819"/>
      <c r="D40" s="594" t="s">
        <v>377</v>
      </c>
      <c r="F40" s="578"/>
    </row>
    <row r="41" spans="1:7" x14ac:dyDescent="0.2">
      <c r="A41" s="813"/>
      <c r="B41" s="813"/>
      <c r="C41" s="819"/>
      <c r="D41" s="594" t="s">
        <v>378</v>
      </c>
      <c r="F41" s="578"/>
    </row>
    <row r="42" spans="1:7" x14ac:dyDescent="0.2">
      <c r="A42" s="813"/>
      <c r="B42" s="813"/>
      <c r="C42" s="819"/>
      <c r="D42" s="594" t="s">
        <v>379</v>
      </c>
      <c r="F42" s="578"/>
    </row>
    <row r="43" spans="1:7" ht="15" x14ac:dyDescent="0.25">
      <c r="A43" s="813"/>
      <c r="B43" s="813"/>
      <c r="C43" s="819"/>
      <c r="D43" s="594" t="s">
        <v>380</v>
      </c>
      <c r="F43" s="578"/>
      <c r="G43" s="595"/>
    </row>
    <row r="44" spans="1:7" ht="15" x14ac:dyDescent="0.25">
      <c r="A44" s="813"/>
      <c r="B44" s="813"/>
      <c r="C44" s="819"/>
      <c r="D44" s="594" t="s">
        <v>381</v>
      </c>
      <c r="F44" s="578"/>
      <c r="G44" s="595"/>
    </row>
    <row r="45" spans="1:7" ht="15" x14ac:dyDescent="0.25">
      <c r="A45" s="813"/>
      <c r="B45" s="813"/>
      <c r="C45" s="819"/>
      <c r="D45" s="594" t="s">
        <v>382</v>
      </c>
      <c r="F45" s="578"/>
      <c r="G45" s="595"/>
    </row>
    <row r="46" spans="1:7" ht="15" x14ac:dyDescent="0.25">
      <c r="A46" s="813"/>
      <c r="B46" s="813"/>
      <c r="C46" s="819"/>
      <c r="D46" s="594" t="s">
        <v>383</v>
      </c>
      <c r="F46" s="578"/>
      <c r="G46" s="595"/>
    </row>
    <row r="47" spans="1:7" ht="15" x14ac:dyDescent="0.25">
      <c r="A47" s="813"/>
      <c r="B47" s="813"/>
      <c r="C47" s="819"/>
      <c r="D47" s="594" t="s">
        <v>384</v>
      </c>
      <c r="F47" s="578"/>
      <c r="G47" s="595"/>
    </row>
    <row r="48" spans="1:7" ht="15" x14ac:dyDescent="0.25">
      <c r="A48" s="813"/>
      <c r="B48" s="813"/>
      <c r="C48" s="819"/>
      <c r="D48" s="594" t="s">
        <v>385</v>
      </c>
      <c r="F48" s="578"/>
      <c r="G48" s="595"/>
    </row>
    <row r="49" spans="1:7" ht="15" x14ac:dyDescent="0.25">
      <c r="A49" s="813"/>
      <c r="B49" s="813"/>
      <c r="C49" s="819"/>
      <c r="D49" s="594" t="s">
        <v>386</v>
      </c>
      <c r="F49" s="578"/>
      <c r="G49" s="595"/>
    </row>
    <row r="50" spans="1:7" ht="15.75" thickBot="1" x14ac:dyDescent="0.3">
      <c r="A50" s="813"/>
      <c r="B50" s="813"/>
      <c r="C50" s="819"/>
      <c r="D50" s="597" t="s">
        <v>387</v>
      </c>
      <c r="F50" s="578"/>
      <c r="G50" s="595"/>
    </row>
    <row r="51" spans="1:7" ht="13.5" thickBot="1" x14ac:dyDescent="0.25">
      <c r="A51" s="813"/>
      <c r="B51" s="813"/>
      <c r="C51" s="812" t="s">
        <v>388</v>
      </c>
      <c r="D51" s="598" t="s">
        <v>389</v>
      </c>
    </row>
    <row r="52" spans="1:7" x14ac:dyDescent="0.2">
      <c r="A52" s="813"/>
      <c r="B52" s="813"/>
      <c r="C52" s="819"/>
      <c r="D52" s="593" t="s">
        <v>390</v>
      </c>
    </row>
    <row r="53" spans="1:7" ht="15.75" thickBot="1" x14ac:dyDescent="0.3">
      <c r="A53" s="813"/>
      <c r="B53" s="813"/>
      <c r="C53" s="819"/>
      <c r="D53" s="597" t="s">
        <v>391</v>
      </c>
      <c r="G53" s="595"/>
    </row>
    <row r="54" spans="1:7" ht="13.5" thickBot="1" x14ac:dyDescent="0.25">
      <c r="A54" s="813"/>
      <c r="B54" s="813"/>
      <c r="C54" s="812" t="s">
        <v>392</v>
      </c>
      <c r="D54" s="598" t="s">
        <v>393</v>
      </c>
      <c r="F54" s="676"/>
    </row>
    <row r="55" spans="1:7" x14ac:dyDescent="0.2">
      <c r="A55" s="813"/>
      <c r="B55" s="813"/>
      <c r="C55" s="819"/>
      <c r="D55" s="593" t="s">
        <v>394</v>
      </c>
      <c r="F55" s="677"/>
    </row>
    <row r="56" spans="1:7" x14ac:dyDescent="0.2">
      <c r="A56" s="813"/>
      <c r="B56" s="813"/>
      <c r="C56" s="819"/>
      <c r="D56" s="594" t="s">
        <v>395</v>
      </c>
      <c r="F56" s="676"/>
    </row>
    <row r="57" spans="1:7" x14ac:dyDescent="0.2">
      <c r="A57" s="813"/>
      <c r="B57" s="813"/>
      <c r="C57" s="819"/>
      <c r="D57" s="594" t="s">
        <v>396</v>
      </c>
      <c r="F57" s="677"/>
    </row>
    <row r="58" spans="1:7" x14ac:dyDescent="0.2">
      <c r="A58" s="813"/>
      <c r="B58" s="813"/>
      <c r="C58" s="819"/>
      <c r="D58" s="594" t="s">
        <v>397</v>
      </c>
      <c r="F58" s="677"/>
    </row>
    <row r="59" spans="1:7" x14ac:dyDescent="0.2">
      <c r="A59" s="813"/>
      <c r="B59" s="813"/>
      <c r="C59" s="819"/>
      <c r="D59" s="594" t="s">
        <v>398</v>
      </c>
      <c r="F59" s="578"/>
    </row>
    <row r="60" spans="1:7" x14ac:dyDescent="0.2">
      <c r="A60" s="813"/>
      <c r="B60" s="813"/>
      <c r="C60" s="819"/>
      <c r="D60" s="594" t="s">
        <v>399</v>
      </c>
      <c r="F60" s="578"/>
    </row>
    <row r="61" spans="1:7" ht="13.5" thickBot="1" x14ac:dyDescent="0.25">
      <c r="A61" s="813"/>
      <c r="B61" s="813"/>
      <c r="C61" s="721"/>
      <c r="D61" s="674" t="s">
        <v>400</v>
      </c>
      <c r="F61" s="578"/>
    </row>
    <row r="62" spans="1:7" ht="13.5" thickBot="1" x14ac:dyDescent="0.25">
      <c r="A62" s="813"/>
      <c r="B62" s="813"/>
      <c r="C62" s="812" t="s">
        <v>401</v>
      </c>
      <c r="D62" s="591" t="s">
        <v>402</v>
      </c>
    </row>
    <row r="63" spans="1:7" x14ac:dyDescent="0.2">
      <c r="A63" s="813"/>
      <c r="B63" s="813"/>
      <c r="C63" s="813"/>
      <c r="D63" s="593" t="s">
        <v>372</v>
      </c>
    </row>
    <row r="64" spans="1:7" x14ac:dyDescent="0.2">
      <c r="A64" s="813"/>
      <c r="B64" s="813"/>
      <c r="C64" s="813"/>
      <c r="D64" s="594" t="s">
        <v>403</v>
      </c>
      <c r="F64" s="578"/>
    </row>
    <row r="65" spans="1:6" x14ac:dyDescent="0.2">
      <c r="A65" s="813"/>
      <c r="B65" s="813"/>
      <c r="C65" s="813"/>
      <c r="D65" s="594" t="s">
        <v>404</v>
      </c>
      <c r="F65" s="578"/>
    </row>
    <row r="66" spans="1:6" x14ac:dyDescent="0.2">
      <c r="A66" s="813"/>
      <c r="B66" s="813"/>
      <c r="C66" s="813"/>
      <c r="D66" s="594" t="s">
        <v>405</v>
      </c>
      <c r="F66" s="578"/>
    </row>
    <row r="67" spans="1:6" x14ac:dyDescent="0.2">
      <c r="A67" s="813"/>
      <c r="B67" s="813"/>
      <c r="C67" s="813"/>
      <c r="D67" s="594" t="s">
        <v>406</v>
      </c>
      <c r="F67" s="578"/>
    </row>
    <row r="68" spans="1:6" ht="13.5" thickBot="1" x14ac:dyDescent="0.25">
      <c r="A68" s="813"/>
      <c r="B68" s="813"/>
      <c r="C68" s="814"/>
      <c r="D68" s="675" t="s">
        <v>407</v>
      </c>
      <c r="F68" s="578"/>
    </row>
    <row r="69" spans="1:6" ht="13.5" thickBot="1" x14ac:dyDescent="0.25">
      <c r="A69" s="813"/>
      <c r="B69" s="813"/>
      <c r="C69" s="812" t="s">
        <v>408</v>
      </c>
      <c r="D69" s="588" t="s">
        <v>409</v>
      </c>
      <c r="F69" s="578"/>
    </row>
    <row r="70" spans="1:6" x14ac:dyDescent="0.2">
      <c r="A70" s="813"/>
      <c r="B70" s="813"/>
      <c r="C70" s="813"/>
      <c r="D70" s="599" t="s">
        <v>410</v>
      </c>
      <c r="F70" s="578"/>
    </row>
    <row r="71" spans="1:6" x14ac:dyDescent="0.2">
      <c r="A71" s="813"/>
      <c r="B71" s="813"/>
      <c r="C71" s="813"/>
      <c r="D71" s="599" t="s">
        <v>411</v>
      </c>
      <c r="F71" s="578"/>
    </row>
    <row r="72" spans="1:6" x14ac:dyDescent="0.2">
      <c r="A72" s="813"/>
      <c r="B72" s="813"/>
      <c r="C72" s="813"/>
      <c r="D72" s="594" t="s">
        <v>412</v>
      </c>
      <c r="F72" s="578"/>
    </row>
    <row r="73" spans="1:6" x14ac:dyDescent="0.2">
      <c r="A73" s="813"/>
      <c r="B73" s="813"/>
      <c r="C73" s="813"/>
      <c r="D73" s="594" t="s">
        <v>413</v>
      </c>
      <c r="F73" s="578"/>
    </row>
    <row r="74" spans="1:6" x14ac:dyDescent="0.2">
      <c r="A74" s="813"/>
      <c r="B74" s="813"/>
      <c r="C74" s="813"/>
      <c r="D74" s="594" t="s">
        <v>414</v>
      </c>
      <c r="F74" s="578"/>
    </row>
    <row r="75" spans="1:6" x14ac:dyDescent="0.2">
      <c r="A75" s="813"/>
      <c r="B75" s="813"/>
      <c r="C75" s="813"/>
      <c r="D75" s="594" t="s">
        <v>415</v>
      </c>
      <c r="F75" s="578"/>
    </row>
    <row r="76" spans="1:6" x14ac:dyDescent="0.2">
      <c r="A76" s="813"/>
      <c r="B76" s="813"/>
      <c r="C76" s="813"/>
      <c r="D76" s="594" t="s">
        <v>416</v>
      </c>
      <c r="F76" s="578"/>
    </row>
    <row r="77" spans="1:6" x14ac:dyDescent="0.2">
      <c r="A77" s="813"/>
      <c r="B77" s="813"/>
      <c r="C77" s="813"/>
      <c r="D77" s="594" t="s">
        <v>417</v>
      </c>
      <c r="F77" s="578"/>
    </row>
    <row r="78" spans="1:6" x14ac:dyDescent="0.2">
      <c r="A78" s="813"/>
      <c r="B78" s="813"/>
      <c r="C78" s="813"/>
      <c r="D78" s="594" t="s">
        <v>383</v>
      </c>
      <c r="F78" s="578"/>
    </row>
    <row r="79" spans="1:6" x14ac:dyDescent="0.2">
      <c r="A79" s="813"/>
      <c r="B79" s="813"/>
      <c r="C79" s="813"/>
      <c r="D79" s="594" t="s">
        <v>418</v>
      </c>
      <c r="F79" s="578"/>
    </row>
    <row r="80" spans="1:6" ht="13.5" thickBot="1" x14ac:dyDescent="0.25">
      <c r="A80" s="813"/>
      <c r="B80" s="813"/>
      <c r="C80" s="814"/>
      <c r="D80" s="597" t="s">
        <v>419</v>
      </c>
      <c r="F80" s="578"/>
    </row>
    <row r="81" spans="1:7" ht="13.5" thickBot="1" x14ac:dyDescent="0.25">
      <c r="A81" s="813"/>
      <c r="B81" s="813"/>
      <c r="C81" s="812" t="s">
        <v>420</v>
      </c>
      <c r="D81" s="598" t="s">
        <v>421</v>
      </c>
    </row>
    <row r="82" spans="1:7" x14ac:dyDescent="0.2">
      <c r="A82" s="813"/>
      <c r="B82" s="813"/>
      <c r="C82" s="813"/>
      <c r="D82" s="593" t="s">
        <v>422</v>
      </c>
      <c r="F82" s="578"/>
    </row>
    <row r="83" spans="1:7" ht="15" x14ac:dyDescent="0.25">
      <c r="A83" s="813"/>
      <c r="B83" s="813"/>
      <c r="C83" s="813"/>
      <c r="D83" s="594" t="s">
        <v>423</v>
      </c>
      <c r="F83" s="578"/>
      <c r="G83" s="595"/>
    </row>
    <row r="84" spans="1:7" ht="15" x14ac:dyDescent="0.25">
      <c r="A84" s="813"/>
      <c r="B84" s="813"/>
      <c r="C84" s="813"/>
      <c r="D84" s="594" t="s">
        <v>424</v>
      </c>
      <c r="F84" s="578"/>
      <c r="G84" s="595"/>
    </row>
    <row r="85" spans="1:7" ht="15" x14ac:dyDescent="0.25">
      <c r="A85" s="813"/>
      <c r="B85" s="813"/>
      <c r="C85" s="813"/>
      <c r="D85" s="594" t="s">
        <v>425</v>
      </c>
      <c r="F85" s="578"/>
      <c r="G85" s="595"/>
    </row>
    <row r="86" spans="1:7" x14ac:dyDescent="0.2">
      <c r="A86" s="813"/>
      <c r="B86" s="813"/>
      <c r="C86" s="813"/>
      <c r="D86" s="594" t="s">
        <v>426</v>
      </c>
      <c r="F86" s="578"/>
    </row>
    <row r="87" spans="1:7" x14ac:dyDescent="0.2">
      <c r="A87" s="813"/>
      <c r="B87" s="813"/>
      <c r="C87" s="813"/>
      <c r="D87" s="594" t="s">
        <v>427</v>
      </c>
      <c r="F87" s="578"/>
    </row>
    <row r="88" spans="1:7" x14ac:dyDescent="0.2">
      <c r="A88" s="813"/>
      <c r="B88" s="813"/>
      <c r="C88" s="813"/>
      <c r="D88" s="594" t="s">
        <v>428</v>
      </c>
      <c r="F88" s="578"/>
    </row>
    <row r="89" spans="1:7" x14ac:dyDescent="0.2">
      <c r="A89" s="813"/>
      <c r="B89" s="813"/>
      <c r="C89" s="813"/>
      <c r="D89" s="594" t="s">
        <v>355</v>
      </c>
      <c r="F89" s="578"/>
    </row>
    <row r="90" spans="1:7" x14ac:dyDescent="0.2">
      <c r="A90" s="813"/>
      <c r="B90" s="813"/>
      <c r="C90" s="813"/>
      <c r="D90" s="594" t="s">
        <v>429</v>
      </c>
      <c r="F90" s="578"/>
    </row>
    <row r="91" spans="1:7" ht="15" x14ac:dyDescent="0.25">
      <c r="A91" s="813"/>
      <c r="B91" s="813"/>
      <c r="C91" s="813"/>
      <c r="D91" s="594" t="s">
        <v>430</v>
      </c>
      <c r="F91" s="578"/>
      <c r="G91" s="595"/>
    </row>
    <row r="92" spans="1:7" x14ac:dyDescent="0.2">
      <c r="A92" s="813"/>
      <c r="B92" s="813"/>
      <c r="C92" s="813"/>
      <c r="D92" s="594" t="s">
        <v>431</v>
      </c>
      <c r="F92" s="578"/>
    </row>
    <row r="93" spans="1:7" x14ac:dyDescent="0.2">
      <c r="A93" s="813"/>
      <c r="B93" s="813"/>
      <c r="C93" s="813"/>
      <c r="D93" s="594" t="s">
        <v>432</v>
      </c>
      <c r="F93" s="578"/>
    </row>
    <row r="94" spans="1:7" x14ac:dyDescent="0.2">
      <c r="A94" s="813"/>
      <c r="B94" s="813"/>
      <c r="C94" s="813"/>
      <c r="D94" s="594" t="s">
        <v>433</v>
      </c>
      <c r="F94" s="578"/>
    </row>
    <row r="95" spans="1:7" ht="13.5" thickBot="1" x14ac:dyDescent="0.25">
      <c r="A95" s="813"/>
      <c r="B95" s="813"/>
      <c r="C95" s="814"/>
      <c r="D95" s="674" t="s">
        <v>400</v>
      </c>
      <c r="F95" s="578"/>
    </row>
    <row r="96" spans="1:7" ht="13.5" thickBot="1" x14ac:dyDescent="0.25">
      <c r="A96" s="813"/>
      <c r="B96" s="813"/>
      <c r="C96" s="813" t="s">
        <v>434</v>
      </c>
      <c r="D96" s="588" t="s">
        <v>435</v>
      </c>
      <c r="F96" s="677"/>
    </row>
    <row r="97" spans="1:6" x14ac:dyDescent="0.2">
      <c r="A97" s="813"/>
      <c r="B97" s="813"/>
      <c r="C97" s="813"/>
      <c r="D97" s="594" t="s">
        <v>436</v>
      </c>
      <c r="F97" s="676"/>
    </row>
    <row r="98" spans="1:6" x14ac:dyDescent="0.2">
      <c r="A98" s="813"/>
      <c r="B98" s="813"/>
      <c r="C98" s="813"/>
      <c r="D98" s="594" t="s">
        <v>437</v>
      </c>
      <c r="F98" s="677"/>
    </row>
    <row r="99" spans="1:6" x14ac:dyDescent="0.2">
      <c r="A99" s="813"/>
      <c r="B99" s="813"/>
      <c r="C99" s="813"/>
      <c r="D99" s="594" t="s">
        <v>438</v>
      </c>
      <c r="F99" s="578"/>
    </row>
    <row r="100" spans="1:6" x14ac:dyDescent="0.2">
      <c r="A100" s="813"/>
      <c r="B100" s="813"/>
      <c r="C100" s="813"/>
      <c r="D100" s="594" t="s">
        <v>439</v>
      </c>
      <c r="F100" s="578"/>
    </row>
    <row r="101" spans="1:6" x14ac:dyDescent="0.2">
      <c r="A101" s="813"/>
      <c r="B101" s="813"/>
      <c r="C101" s="813"/>
      <c r="D101" s="594" t="s">
        <v>440</v>
      </c>
      <c r="F101" s="578"/>
    </row>
    <row r="102" spans="1:6" x14ac:dyDescent="0.2">
      <c r="A102" s="813"/>
      <c r="B102" s="813"/>
      <c r="C102" s="813"/>
      <c r="D102" s="594" t="s">
        <v>441</v>
      </c>
      <c r="F102" s="578"/>
    </row>
    <row r="103" spans="1:6" x14ac:dyDescent="0.2">
      <c r="A103" s="813"/>
      <c r="B103" s="813"/>
      <c r="C103" s="813"/>
      <c r="D103" s="594" t="s">
        <v>442</v>
      </c>
      <c r="F103" s="578"/>
    </row>
    <row r="104" spans="1:6" x14ac:dyDescent="0.2">
      <c r="A104" s="813"/>
      <c r="B104" s="813"/>
      <c r="C104" s="813"/>
      <c r="D104" s="594" t="s">
        <v>443</v>
      </c>
      <c r="F104" s="578"/>
    </row>
    <row r="105" spans="1:6" x14ac:dyDescent="0.2">
      <c r="A105" s="813"/>
      <c r="B105" s="813"/>
      <c r="C105" s="813"/>
      <c r="D105" s="594" t="s">
        <v>444</v>
      </c>
      <c r="F105" s="578"/>
    </row>
    <row r="106" spans="1:6" x14ac:dyDescent="0.2">
      <c r="A106" s="813"/>
      <c r="B106" s="813"/>
      <c r="C106" s="813"/>
      <c r="D106" s="594" t="s">
        <v>445</v>
      </c>
      <c r="F106" s="578"/>
    </row>
    <row r="107" spans="1:6" x14ac:dyDescent="0.2">
      <c r="A107" s="813"/>
      <c r="B107" s="813"/>
      <c r="C107" s="813"/>
      <c r="D107" s="594" t="s">
        <v>446</v>
      </c>
      <c r="F107" s="578"/>
    </row>
    <row r="108" spans="1:6" x14ac:dyDescent="0.2">
      <c r="A108" s="813"/>
      <c r="B108" s="813"/>
      <c r="C108" s="813"/>
      <c r="D108" s="594" t="s">
        <v>447</v>
      </c>
      <c r="F108" s="578"/>
    </row>
    <row r="109" spans="1:6" x14ac:dyDescent="0.2">
      <c r="A109" s="813"/>
      <c r="B109" s="813"/>
      <c r="C109" s="813"/>
      <c r="D109" s="594" t="s">
        <v>448</v>
      </c>
      <c r="F109" s="578"/>
    </row>
    <row r="110" spans="1:6" x14ac:dyDescent="0.2">
      <c r="A110" s="813"/>
      <c r="B110" s="813"/>
      <c r="C110" s="813"/>
      <c r="D110" s="594" t="s">
        <v>449</v>
      </c>
      <c r="F110" s="578"/>
    </row>
    <row r="111" spans="1:6" x14ac:dyDescent="0.2">
      <c r="A111" s="813"/>
      <c r="B111" s="813"/>
      <c r="C111" s="813"/>
      <c r="D111" s="594" t="s">
        <v>450</v>
      </c>
      <c r="F111" s="578"/>
    </row>
    <row r="112" spans="1:6" x14ac:dyDescent="0.2">
      <c r="A112" s="813"/>
      <c r="B112" s="813"/>
      <c r="C112" s="813"/>
      <c r="D112" s="594" t="s">
        <v>451</v>
      </c>
      <c r="F112" s="578"/>
    </row>
    <row r="113" spans="1:8" x14ac:dyDescent="0.2">
      <c r="A113" s="813"/>
      <c r="B113" s="813"/>
      <c r="C113" s="813"/>
      <c r="D113" s="594" t="s">
        <v>452</v>
      </c>
      <c r="F113" s="578"/>
    </row>
    <row r="114" spans="1:8" x14ac:dyDescent="0.2">
      <c r="A114" s="813"/>
      <c r="B114" s="813"/>
      <c r="C114" s="813"/>
      <c r="D114" s="594" t="s">
        <v>453</v>
      </c>
      <c r="F114" s="578"/>
    </row>
    <row r="115" spans="1:8" ht="13.5" thickBot="1" x14ac:dyDescent="0.25">
      <c r="A115" s="813"/>
      <c r="B115" s="813"/>
      <c r="C115" s="814"/>
      <c r="D115" s="594" t="s">
        <v>358</v>
      </c>
      <c r="F115" s="578"/>
    </row>
    <row r="116" spans="1:8" x14ac:dyDescent="0.2">
      <c r="A116" s="813"/>
      <c r="B116" s="813"/>
      <c r="C116" s="820" t="s">
        <v>226</v>
      </c>
      <c r="D116" s="822" t="s">
        <v>454</v>
      </c>
      <c r="F116" s="584"/>
      <c r="G116" s="584"/>
      <c r="H116" s="584"/>
    </row>
    <row r="117" spans="1:8" ht="13.5" thickBot="1" x14ac:dyDescent="0.25">
      <c r="A117" s="813"/>
      <c r="B117" s="813"/>
      <c r="C117" s="821"/>
      <c r="D117" s="823"/>
      <c r="E117" s="584"/>
      <c r="F117" s="584"/>
      <c r="G117" s="584"/>
      <c r="H117" s="584"/>
    </row>
    <row r="118" spans="1:8" ht="21" customHeight="1" thickBot="1" x14ac:dyDescent="0.25">
      <c r="A118" s="813"/>
      <c r="B118" s="813"/>
      <c r="C118" s="815" t="s">
        <v>455</v>
      </c>
      <c r="D118" s="816"/>
    </row>
    <row r="119" spans="1:8" ht="13.5" thickBot="1" x14ac:dyDescent="0.25">
      <c r="A119" s="813"/>
      <c r="B119" s="813"/>
      <c r="C119" s="600" t="s">
        <v>456</v>
      </c>
      <c r="D119" s="588" t="s">
        <v>457</v>
      </c>
    </row>
    <row r="120" spans="1:8" x14ac:dyDescent="0.2">
      <c r="A120" s="813"/>
      <c r="B120" s="813"/>
      <c r="C120" s="601" t="s">
        <v>156</v>
      </c>
      <c r="D120" s="602" t="s">
        <v>458</v>
      </c>
    </row>
    <row r="121" spans="1:8" x14ac:dyDescent="0.2">
      <c r="A121" s="813"/>
      <c r="B121" s="813"/>
      <c r="C121" s="601" t="s">
        <v>158</v>
      </c>
      <c r="D121" s="602" t="s">
        <v>459</v>
      </c>
    </row>
    <row r="122" spans="1:8" x14ac:dyDescent="0.2">
      <c r="A122" s="813"/>
      <c r="B122" s="813"/>
      <c r="C122" s="601" t="s">
        <v>160</v>
      </c>
      <c r="D122" s="602" t="s">
        <v>460</v>
      </c>
    </row>
    <row r="123" spans="1:8" x14ac:dyDescent="0.2">
      <c r="A123" s="813"/>
      <c r="B123" s="813"/>
      <c r="C123" s="601" t="s">
        <v>162</v>
      </c>
      <c r="D123" s="602" t="s">
        <v>461</v>
      </c>
    </row>
    <row r="124" spans="1:8" x14ac:dyDescent="0.2">
      <c r="A124" s="813"/>
      <c r="B124" s="813"/>
      <c r="C124" s="601" t="s">
        <v>164</v>
      </c>
      <c r="D124" s="602" t="s">
        <v>462</v>
      </c>
    </row>
    <row r="125" spans="1:8" x14ac:dyDescent="0.2">
      <c r="A125" s="813"/>
      <c r="B125" s="813"/>
      <c r="C125" s="601"/>
      <c r="D125" s="602"/>
    </row>
    <row r="126" spans="1:8" x14ac:dyDescent="0.2">
      <c r="A126" s="813"/>
      <c r="B126" s="813"/>
      <c r="C126" s="601"/>
      <c r="D126" s="602"/>
    </row>
    <row r="127" spans="1:8" x14ac:dyDescent="0.2">
      <c r="A127" s="813"/>
      <c r="B127" s="813"/>
      <c r="C127" s="603"/>
      <c r="D127" s="604"/>
    </row>
    <row r="128" spans="1:8" ht="13.5" thickBot="1" x14ac:dyDescent="0.25">
      <c r="A128" s="814"/>
      <c r="B128" s="814"/>
      <c r="C128" s="605"/>
      <c r="D128" s="606"/>
    </row>
    <row r="129" spans="1:4" x14ac:dyDescent="0.2">
      <c r="A129" s="607"/>
      <c r="B129" s="607"/>
      <c r="C129" s="608"/>
      <c r="D129" s="609"/>
    </row>
    <row r="130" spans="1:4" ht="12.75" customHeight="1" x14ac:dyDescent="0.2">
      <c r="A130" s="610"/>
      <c r="B130" s="610"/>
      <c r="C130" s="610"/>
      <c r="D130" s="610"/>
    </row>
    <row r="131" spans="1:4" ht="13.5" customHeight="1" x14ac:dyDescent="0.2">
      <c r="A131" s="610"/>
      <c r="B131" s="610"/>
      <c r="C131" s="610"/>
      <c r="D131" s="610"/>
    </row>
    <row r="132" spans="1:4" ht="12.75" customHeight="1" x14ac:dyDescent="0.2">
      <c r="A132" s="610"/>
      <c r="B132" s="610"/>
      <c r="C132" s="610"/>
      <c r="D132" s="610"/>
    </row>
    <row r="133" spans="1:4" ht="12.75" customHeight="1" x14ac:dyDescent="0.2">
      <c r="A133" s="610"/>
      <c r="B133" s="610"/>
      <c r="C133" s="610"/>
      <c r="D133" s="610"/>
    </row>
    <row r="134" spans="1:4" ht="13.5" customHeight="1" x14ac:dyDescent="0.2">
      <c r="A134" s="610"/>
      <c r="B134" s="610"/>
      <c r="C134" s="610"/>
      <c r="D134" s="610"/>
    </row>
    <row r="135" spans="1:4" x14ac:dyDescent="0.2">
      <c r="B135" s="611"/>
    </row>
    <row r="136" spans="1:4" x14ac:dyDescent="0.2">
      <c r="B136" s="611"/>
    </row>
    <row r="137" spans="1:4" x14ac:dyDescent="0.2">
      <c r="B137" s="611"/>
    </row>
    <row r="138" spans="1:4" x14ac:dyDescent="0.2">
      <c r="B138" s="611"/>
    </row>
    <row r="139" spans="1:4" x14ac:dyDescent="0.2">
      <c r="B139" s="611"/>
    </row>
    <row r="140" spans="1:4" x14ac:dyDescent="0.2">
      <c r="B140" s="611"/>
    </row>
    <row r="141" spans="1:4" x14ac:dyDescent="0.2">
      <c r="B141" s="611"/>
    </row>
    <row r="142" spans="1:4" x14ac:dyDescent="0.2">
      <c r="B142" s="611"/>
    </row>
    <row r="143" spans="1:4" x14ac:dyDescent="0.2">
      <c r="B143" s="611"/>
    </row>
    <row r="144" spans="1:4" x14ac:dyDescent="0.2">
      <c r="B144" s="611"/>
    </row>
    <row r="145" spans="2:2" x14ac:dyDescent="0.2">
      <c r="B145" s="611"/>
    </row>
    <row r="146" spans="2:2" x14ac:dyDescent="0.2">
      <c r="B146" s="611"/>
    </row>
    <row r="147" spans="2:2" x14ac:dyDescent="0.2">
      <c r="B147" s="611"/>
    </row>
    <row r="148" spans="2:2" x14ac:dyDescent="0.2">
      <c r="B148" s="611"/>
    </row>
    <row r="149" spans="2:2" x14ac:dyDescent="0.2">
      <c r="B149" s="611"/>
    </row>
    <row r="150" spans="2:2" x14ac:dyDescent="0.2">
      <c r="B150" s="611"/>
    </row>
    <row r="151" spans="2:2" x14ac:dyDescent="0.2">
      <c r="B151" s="611"/>
    </row>
    <row r="152" spans="2:2" x14ac:dyDescent="0.2">
      <c r="B152" s="611"/>
    </row>
    <row r="153" spans="2:2" x14ac:dyDescent="0.2">
      <c r="B153" s="611"/>
    </row>
    <row r="154" spans="2:2" x14ac:dyDescent="0.2">
      <c r="B154" s="611"/>
    </row>
    <row r="155" spans="2:2" x14ac:dyDescent="0.2">
      <c r="B155" s="611"/>
    </row>
    <row r="156" spans="2:2" x14ac:dyDescent="0.2">
      <c r="B156" s="611"/>
    </row>
    <row r="157" spans="2:2" x14ac:dyDescent="0.2">
      <c r="B157" s="611"/>
    </row>
    <row r="158" spans="2:2" x14ac:dyDescent="0.2">
      <c r="B158" s="611"/>
    </row>
    <row r="159" spans="2:2" x14ac:dyDescent="0.2">
      <c r="B159" s="611"/>
    </row>
    <row r="160" spans="2:2" x14ac:dyDescent="0.2">
      <c r="B160" s="611"/>
    </row>
    <row r="161" spans="2:2" x14ac:dyDescent="0.2">
      <c r="B161" s="611"/>
    </row>
    <row r="162" spans="2:2" x14ac:dyDescent="0.2">
      <c r="B162" s="611"/>
    </row>
    <row r="163" spans="2:2" x14ac:dyDescent="0.2">
      <c r="B163" s="611"/>
    </row>
    <row r="164" spans="2:2" x14ac:dyDescent="0.2">
      <c r="B164" s="611"/>
    </row>
    <row r="165" spans="2:2" x14ac:dyDescent="0.2">
      <c r="B165" s="611"/>
    </row>
    <row r="166" spans="2:2" x14ac:dyDescent="0.2">
      <c r="B166" s="611"/>
    </row>
    <row r="167" spans="2:2" x14ac:dyDescent="0.2">
      <c r="B167" s="611"/>
    </row>
    <row r="168" spans="2:2" x14ac:dyDescent="0.2">
      <c r="B168" s="611"/>
    </row>
    <row r="169" spans="2:2" x14ac:dyDescent="0.2">
      <c r="B169" s="611"/>
    </row>
    <row r="170" spans="2:2" x14ac:dyDescent="0.2">
      <c r="B170" s="611"/>
    </row>
    <row r="171" spans="2:2" x14ac:dyDescent="0.2">
      <c r="B171" s="611"/>
    </row>
    <row r="172" spans="2:2" x14ac:dyDescent="0.2">
      <c r="B172" s="611"/>
    </row>
    <row r="173" spans="2:2" x14ac:dyDescent="0.2">
      <c r="B173" s="611"/>
    </row>
    <row r="174" spans="2:2" x14ac:dyDescent="0.2">
      <c r="B174" s="611"/>
    </row>
    <row r="175" spans="2:2" x14ac:dyDescent="0.2">
      <c r="B175" s="611"/>
    </row>
    <row r="176" spans="2:2" x14ac:dyDescent="0.2">
      <c r="B176" s="611"/>
    </row>
    <row r="177" spans="2:2" x14ac:dyDescent="0.2">
      <c r="B177" s="611"/>
    </row>
    <row r="178" spans="2:2" x14ac:dyDescent="0.2">
      <c r="B178" s="611"/>
    </row>
    <row r="179" spans="2:2" x14ac:dyDescent="0.2">
      <c r="B179" s="611"/>
    </row>
    <row r="180" spans="2:2" x14ac:dyDescent="0.2">
      <c r="B180" s="611"/>
    </row>
    <row r="181" spans="2:2" x14ac:dyDescent="0.2">
      <c r="B181" s="611"/>
    </row>
    <row r="182" spans="2:2" x14ac:dyDescent="0.2">
      <c r="B182" s="611"/>
    </row>
    <row r="183" spans="2:2" x14ac:dyDescent="0.2">
      <c r="B183" s="611"/>
    </row>
    <row r="184" spans="2:2" x14ac:dyDescent="0.2">
      <c r="B184" s="611"/>
    </row>
    <row r="185" spans="2:2" x14ac:dyDescent="0.2">
      <c r="B185" s="611"/>
    </row>
    <row r="186" spans="2:2" x14ac:dyDescent="0.2">
      <c r="B186" s="611"/>
    </row>
    <row r="187" spans="2:2" x14ac:dyDescent="0.2">
      <c r="B187" s="611"/>
    </row>
    <row r="188" spans="2:2" x14ac:dyDescent="0.2">
      <c r="B188" s="611"/>
    </row>
    <row r="189" spans="2:2" x14ac:dyDescent="0.2">
      <c r="B189" s="611"/>
    </row>
    <row r="190" spans="2:2" x14ac:dyDescent="0.2">
      <c r="B190" s="611"/>
    </row>
    <row r="191" spans="2:2" x14ac:dyDescent="0.2">
      <c r="B191" s="611"/>
    </row>
    <row r="192" spans="2:2" x14ac:dyDescent="0.2">
      <c r="B192" s="611"/>
    </row>
    <row r="193" spans="2:2" x14ac:dyDescent="0.2">
      <c r="B193" s="611"/>
    </row>
    <row r="194" spans="2:2" x14ac:dyDescent="0.2">
      <c r="B194" s="611"/>
    </row>
    <row r="195" spans="2:2" x14ac:dyDescent="0.2">
      <c r="B195" s="611"/>
    </row>
    <row r="196" spans="2:2" x14ac:dyDescent="0.2">
      <c r="B196" s="611"/>
    </row>
    <row r="197" spans="2:2" x14ac:dyDescent="0.2">
      <c r="B197" s="611"/>
    </row>
    <row r="198" spans="2:2" x14ac:dyDescent="0.2">
      <c r="B198" s="611"/>
    </row>
    <row r="199" spans="2:2" x14ac:dyDescent="0.2">
      <c r="B199" s="611"/>
    </row>
    <row r="200" spans="2:2" x14ac:dyDescent="0.2">
      <c r="B200" s="611"/>
    </row>
    <row r="201" spans="2:2" x14ac:dyDescent="0.2">
      <c r="B201" s="611"/>
    </row>
    <row r="202" spans="2:2" x14ac:dyDescent="0.2">
      <c r="B202" s="611"/>
    </row>
    <row r="203" spans="2:2" x14ac:dyDescent="0.2">
      <c r="B203" s="611"/>
    </row>
    <row r="204" spans="2:2" x14ac:dyDescent="0.2">
      <c r="B204" s="611"/>
    </row>
    <row r="205" spans="2:2" x14ac:dyDescent="0.2">
      <c r="B205" s="611"/>
    </row>
    <row r="206" spans="2:2" x14ac:dyDescent="0.2">
      <c r="B206" s="611"/>
    </row>
    <row r="207" spans="2:2" x14ac:dyDescent="0.2">
      <c r="B207" s="611"/>
    </row>
    <row r="208" spans="2:2" x14ac:dyDescent="0.2">
      <c r="B208" s="611"/>
    </row>
    <row r="209" spans="2:2" x14ac:dyDescent="0.2">
      <c r="B209" s="611"/>
    </row>
    <row r="210" spans="2:2" x14ac:dyDescent="0.2">
      <c r="B210" s="611"/>
    </row>
    <row r="211" spans="2:2" x14ac:dyDescent="0.2">
      <c r="B211" s="611"/>
    </row>
    <row r="212" spans="2:2" x14ac:dyDescent="0.2">
      <c r="B212" s="611"/>
    </row>
    <row r="213" spans="2:2" x14ac:dyDescent="0.2">
      <c r="B213" s="611"/>
    </row>
    <row r="214" spans="2:2" x14ac:dyDescent="0.2">
      <c r="B214" s="611"/>
    </row>
    <row r="215" spans="2:2" x14ac:dyDescent="0.2">
      <c r="B215" s="611"/>
    </row>
    <row r="216" spans="2:2" x14ac:dyDescent="0.2">
      <c r="B216" s="611"/>
    </row>
    <row r="217" spans="2:2" x14ac:dyDescent="0.2">
      <c r="B217" s="611"/>
    </row>
    <row r="218" spans="2:2" x14ac:dyDescent="0.2">
      <c r="B218" s="611"/>
    </row>
    <row r="219" spans="2:2" x14ac:dyDescent="0.2">
      <c r="B219" s="611"/>
    </row>
    <row r="220" spans="2:2" x14ac:dyDescent="0.2">
      <c r="B220" s="611"/>
    </row>
    <row r="221" spans="2:2" x14ac:dyDescent="0.2">
      <c r="B221" s="611"/>
    </row>
    <row r="222" spans="2:2" x14ac:dyDescent="0.2">
      <c r="B222" s="611"/>
    </row>
    <row r="223" spans="2:2" x14ac:dyDescent="0.2">
      <c r="B223" s="611"/>
    </row>
    <row r="224" spans="2:2" x14ac:dyDescent="0.2">
      <c r="B224" s="611"/>
    </row>
    <row r="225" spans="2:2" x14ac:dyDescent="0.2">
      <c r="B225" s="611"/>
    </row>
    <row r="226" spans="2:2" x14ac:dyDescent="0.2">
      <c r="B226" s="611"/>
    </row>
    <row r="227" spans="2:2" x14ac:dyDescent="0.2">
      <c r="B227" s="611"/>
    </row>
    <row r="228" spans="2:2" x14ac:dyDescent="0.2">
      <c r="B228" s="611"/>
    </row>
    <row r="229" spans="2:2" x14ac:dyDescent="0.2">
      <c r="B229" s="611"/>
    </row>
    <row r="230" spans="2:2" x14ac:dyDescent="0.2">
      <c r="B230" s="611"/>
    </row>
    <row r="231" spans="2:2" x14ac:dyDescent="0.2">
      <c r="B231" s="611"/>
    </row>
    <row r="232" spans="2:2" x14ac:dyDescent="0.2">
      <c r="B232" s="611"/>
    </row>
    <row r="233" spans="2:2" x14ac:dyDescent="0.2">
      <c r="B233" s="611"/>
    </row>
    <row r="234" spans="2:2" x14ac:dyDescent="0.2">
      <c r="B234" s="611"/>
    </row>
    <row r="235" spans="2:2" x14ac:dyDescent="0.2">
      <c r="B235" s="611"/>
    </row>
  </sheetData>
  <mergeCells count="16">
    <mergeCell ref="C62:C68"/>
    <mergeCell ref="C81:C95"/>
    <mergeCell ref="C118:D118"/>
    <mergeCell ref="C5:D5"/>
    <mergeCell ref="A7:A128"/>
    <mergeCell ref="B7:B128"/>
    <mergeCell ref="C7:C9"/>
    <mergeCell ref="C10:C23"/>
    <mergeCell ref="C24:C33"/>
    <mergeCell ref="C34:C50"/>
    <mergeCell ref="C51:C53"/>
    <mergeCell ref="C54:C60"/>
    <mergeCell ref="C69:C80"/>
    <mergeCell ref="C96:C115"/>
    <mergeCell ref="C116:C117"/>
    <mergeCell ref="D116:D117"/>
  </mergeCells>
  <hyperlinks>
    <hyperlink ref="A2" location="Inventory!A1" display="Inventory" xr:uid="{00000000-0004-0000-1400-000000000000}"/>
    <hyperlink ref="E1" r:id="rId1" display="https://flankspeed.sharepoint-mil.us.mcas-gov.us/sites/CPF-CNAP-HQ/N42/N422/SharedDocuments/Forms/AllItems.aspx?RootFolder=%2Fsites%2FCPF%2DCNAP%2DHQ%2FN42%2FN422%2FSharedDocuments%2FN422C%20NAMP%2FMESMs&amp;FolderCTID=0x012000DF16210E418C3840B293E75187CA959E" xr:uid="{00000000-0004-0000-1400-000001000000}"/>
  </hyperlinks>
  <pageMargins left="0.75" right="0.75" top="1" bottom="1" header="0.5" footer="0.5"/>
  <pageSetup orientation="portrait" verticalDpi="0" r:id="rId2"/>
  <headerFooter alignWithMargins="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186"/>
  <sheetViews>
    <sheetView showGridLines="0" zoomScaleNormal="100" zoomScaleSheetLayoutView="100" workbookViewId="0">
      <selection activeCell="H1" sqref="H1"/>
    </sheetView>
  </sheetViews>
  <sheetFormatPr defaultRowHeight="12" x14ac:dyDescent="0.2"/>
  <cols>
    <col min="1" max="1" width="62" style="28" bestFit="1" customWidth="1"/>
    <col min="2" max="29" width="5.7109375" style="28" customWidth="1"/>
    <col min="30" max="30" width="6.28515625" style="28" bestFit="1" customWidth="1"/>
    <col min="31" max="32" width="9.140625" style="28"/>
    <col min="33" max="33" width="40.5703125" style="28" bestFit="1" customWidth="1"/>
    <col min="34" max="16384" width="9.140625" style="28"/>
  </cols>
  <sheetData>
    <row r="1" spans="1:30" s="1" customFormat="1" ht="18.75" x14ac:dyDescent="0.3">
      <c r="A1" s="746" t="s">
        <v>61</v>
      </c>
      <c r="B1" s="746"/>
      <c r="C1" s="746"/>
      <c r="D1" s="746"/>
      <c r="E1" s="746"/>
      <c r="F1" s="746"/>
      <c r="G1" s="746"/>
      <c r="H1" s="473" t="s">
        <v>62</v>
      </c>
      <c r="I1" s="474"/>
      <c r="J1" s="474"/>
      <c r="K1" s="475"/>
      <c r="L1" s="476" t="s">
        <v>3</v>
      </c>
      <c r="M1" s="747">
        <v>44835</v>
      </c>
      <c r="N1" s="748"/>
      <c r="O1" s="749"/>
      <c r="Q1" s="750"/>
      <c r="R1" s="750"/>
      <c r="S1" s="750"/>
      <c r="T1" s="750"/>
      <c r="U1" s="750"/>
      <c r="V1" s="750"/>
      <c r="W1" s="750"/>
      <c r="AC1" s="477" t="s">
        <v>63</v>
      </c>
      <c r="AD1" s="426">
        <v>7.01</v>
      </c>
    </row>
    <row r="2" spans="1:30" s="8" customFormat="1" x14ac:dyDescent="0.2">
      <c r="A2" s="135" t="s">
        <v>64</v>
      </c>
      <c r="B2" s="478">
        <v>5</v>
      </c>
      <c r="C2" s="479"/>
      <c r="D2" s="479"/>
      <c r="E2" s="480"/>
      <c r="F2" s="479"/>
      <c r="G2" s="481"/>
      <c r="H2" s="482" t="s">
        <v>1</v>
      </c>
      <c r="I2" s="483"/>
      <c r="J2" s="483"/>
      <c r="K2" s="483"/>
    </row>
    <row r="3" spans="1:30" s="8" customFormat="1" ht="11.25" x14ac:dyDescent="0.2">
      <c r="A3" s="135" t="s">
        <v>65</v>
      </c>
      <c r="B3" s="484">
        <f>B4/B2</f>
        <v>1.8</v>
      </c>
      <c r="C3" s="485"/>
      <c r="D3" s="268"/>
      <c r="E3" s="486"/>
      <c r="F3" s="487"/>
      <c r="G3" s="488"/>
      <c r="H3" s="7"/>
      <c r="I3" s="489"/>
      <c r="J3" s="489"/>
      <c r="K3" s="490"/>
      <c r="L3" s="491"/>
      <c r="N3" s="492"/>
    </row>
    <row r="4" spans="1:30" s="8" customFormat="1" ht="11.25" x14ac:dyDescent="0.2">
      <c r="A4" s="135" t="s">
        <v>66</v>
      </c>
      <c r="B4" s="10">
        <v>9</v>
      </c>
      <c r="C4" s="492"/>
      <c r="D4" s="493"/>
      <c r="E4" s="493"/>
      <c r="F4" s="20"/>
      <c r="G4" s="18"/>
      <c r="H4" s="18"/>
      <c r="I4" s="489"/>
      <c r="J4" s="489"/>
      <c r="K4" s="490"/>
      <c r="L4" s="491"/>
      <c r="N4" s="492"/>
    </row>
    <row r="5" spans="1:30" s="8" customFormat="1" ht="11.25" x14ac:dyDescent="0.2">
      <c r="A5" s="135" t="s">
        <v>67</v>
      </c>
      <c r="B5" s="19">
        <v>2</v>
      </c>
      <c r="C5" s="492"/>
      <c r="D5" s="493"/>
      <c r="E5" s="493"/>
      <c r="F5" s="20"/>
      <c r="G5" s="18"/>
      <c r="H5" s="18"/>
      <c r="I5" s="489"/>
      <c r="J5" s="489"/>
      <c r="K5" s="490"/>
      <c r="L5" s="491"/>
      <c r="N5" s="492"/>
    </row>
    <row r="6" spans="1:30" s="8" customFormat="1" ht="11.25" x14ac:dyDescent="0.2">
      <c r="A6" s="136" t="s">
        <v>68</v>
      </c>
      <c r="B6" s="10">
        <v>28</v>
      </c>
      <c r="C6" s="494"/>
      <c r="D6" s="495"/>
      <c r="E6" s="495"/>
      <c r="F6" s="20"/>
      <c r="G6" s="18"/>
      <c r="H6" s="18"/>
      <c r="I6" s="496"/>
      <c r="J6" s="496"/>
      <c r="K6" s="497"/>
      <c r="L6" s="491"/>
      <c r="M6" s="492"/>
      <c r="N6" s="492"/>
    </row>
    <row r="7" spans="1:30" s="8" customFormat="1" ht="11.25" x14ac:dyDescent="0.2">
      <c r="A7" s="135" t="s">
        <v>69</v>
      </c>
      <c r="B7" s="10">
        <f>B6*B4</f>
        <v>252</v>
      </c>
      <c r="C7" s="492"/>
      <c r="D7" s="492"/>
      <c r="E7" s="493"/>
      <c r="F7" s="20"/>
      <c r="G7" s="18"/>
      <c r="H7" s="18"/>
      <c r="I7" s="489"/>
      <c r="J7" s="489"/>
      <c r="K7" s="490"/>
      <c r="L7" s="491"/>
      <c r="M7" s="11"/>
      <c r="N7" s="11"/>
    </row>
    <row r="8" spans="1:30" s="8" customFormat="1" ht="11.25" x14ac:dyDescent="0.2">
      <c r="A8" s="135" t="s">
        <v>70</v>
      </c>
      <c r="B8" s="10">
        <f>B7/B5</f>
        <v>126</v>
      </c>
      <c r="C8" s="498"/>
      <c r="D8" s="492"/>
      <c r="E8" s="492"/>
      <c r="F8" s="20"/>
      <c r="G8" s="18"/>
      <c r="H8" s="18"/>
      <c r="I8" s="11"/>
      <c r="J8" s="11"/>
      <c r="K8" s="11"/>
      <c r="L8" s="11"/>
      <c r="M8" s="11"/>
      <c r="N8" s="11"/>
    </row>
    <row r="9" spans="1:30" s="8" customFormat="1" ht="11.25" x14ac:dyDescent="0.2">
      <c r="A9" s="135" t="s">
        <v>71</v>
      </c>
      <c r="B9" s="10">
        <f>B4*C9</f>
        <v>9</v>
      </c>
      <c r="C9" s="499">
        <v>1</v>
      </c>
      <c r="D9" s="500" t="s">
        <v>72</v>
      </c>
      <c r="E9" s="492"/>
      <c r="F9" s="20"/>
      <c r="G9" s="132" t="s">
        <v>73</v>
      </c>
      <c r="H9" s="133">
        <v>0.4</v>
      </c>
      <c r="I9" s="11"/>
      <c r="J9" s="11"/>
      <c r="K9" s="11"/>
      <c r="L9" s="11"/>
      <c r="M9" s="11"/>
      <c r="N9" s="11"/>
    </row>
    <row r="10" spans="1:30" s="8" customFormat="1" ht="11.25" x14ac:dyDescent="0.2">
      <c r="A10" s="135" t="s">
        <v>74</v>
      </c>
      <c r="B10" s="11">
        <f>B4*C10</f>
        <v>81</v>
      </c>
      <c r="C10" s="499">
        <v>9</v>
      </c>
      <c r="D10" s="500" t="s">
        <v>72</v>
      </c>
      <c r="E10" s="11"/>
      <c r="F10" s="20"/>
      <c r="G10" s="134" t="s">
        <v>75</v>
      </c>
      <c r="H10" s="454">
        <v>0.35699999999999998</v>
      </c>
      <c r="I10" s="11"/>
      <c r="J10" s="11"/>
      <c r="K10" s="11"/>
      <c r="L10" s="11"/>
      <c r="M10" s="11"/>
      <c r="N10" s="11"/>
    </row>
    <row r="11" spans="1:30" s="8" customFormat="1" ht="11.25" x14ac:dyDescent="0.2">
      <c r="A11" s="200" t="s">
        <v>76</v>
      </c>
      <c r="B11" s="201">
        <f>C11*B4</f>
        <v>9</v>
      </c>
      <c r="C11" s="501">
        <v>1</v>
      </c>
      <c r="D11" s="500" t="s">
        <v>72</v>
      </c>
      <c r="E11" s="11"/>
      <c r="F11" s="20"/>
      <c r="G11" s="18"/>
      <c r="H11" s="18"/>
      <c r="I11" s="11"/>
      <c r="J11" s="11"/>
      <c r="K11" s="11"/>
      <c r="L11" s="11"/>
      <c r="M11" s="11"/>
      <c r="N11" s="11"/>
    </row>
    <row r="12" spans="1:30" s="8" customFormat="1" ht="11.25" x14ac:dyDescent="0.2">
      <c r="A12" s="18"/>
      <c r="B12" s="11"/>
      <c r="C12" s="499"/>
      <c r="D12" s="24"/>
      <c r="E12" s="11"/>
      <c r="F12" s="20"/>
      <c r="G12" s="18"/>
      <c r="H12" s="18"/>
      <c r="I12" s="11"/>
      <c r="J12" s="11"/>
      <c r="K12" s="11"/>
      <c r="L12" s="11"/>
      <c r="M12" s="11"/>
      <c r="N12" s="11"/>
      <c r="O12" s="11"/>
      <c r="R12" s="11"/>
      <c r="S12" s="18"/>
      <c r="T12" s="11"/>
      <c r="U12" s="499"/>
      <c r="V12" s="24"/>
      <c r="W12" s="11"/>
      <c r="X12" s="11"/>
      <c r="Y12" s="11"/>
      <c r="Z12" s="11"/>
      <c r="AA12" s="11"/>
      <c r="AB12" s="11"/>
      <c r="AC12" s="201"/>
    </row>
    <row r="13" spans="1:30" s="27" customFormat="1" ht="59.25" x14ac:dyDescent="0.2">
      <c r="A13" s="502" t="s">
        <v>77</v>
      </c>
      <c r="B13" s="503" t="s">
        <v>78</v>
      </c>
      <c r="C13" s="503" t="s">
        <v>78</v>
      </c>
      <c r="D13" s="503" t="s">
        <v>78</v>
      </c>
      <c r="E13" s="503" t="s">
        <v>78</v>
      </c>
      <c r="F13" s="503" t="s">
        <v>78</v>
      </c>
      <c r="G13" s="503" t="s">
        <v>78</v>
      </c>
      <c r="H13" s="503" t="s">
        <v>79</v>
      </c>
      <c r="I13" s="503" t="s">
        <v>79</v>
      </c>
      <c r="J13" s="504" t="s">
        <v>79</v>
      </c>
      <c r="K13" s="504" t="s">
        <v>80</v>
      </c>
      <c r="L13" s="504" t="s">
        <v>81</v>
      </c>
      <c r="M13" s="504" t="s">
        <v>81</v>
      </c>
      <c r="N13" s="503" t="s">
        <v>82</v>
      </c>
      <c r="O13" s="503" t="s">
        <v>82</v>
      </c>
      <c r="P13" s="503" t="s">
        <v>82</v>
      </c>
      <c r="Q13" s="503" t="s">
        <v>82</v>
      </c>
      <c r="R13" s="503" t="s">
        <v>83</v>
      </c>
      <c r="S13" s="503" t="s">
        <v>83</v>
      </c>
      <c r="T13" s="503" t="s">
        <v>83</v>
      </c>
      <c r="U13" s="503" t="s">
        <v>83</v>
      </c>
      <c r="V13" s="503" t="s">
        <v>83</v>
      </c>
      <c r="W13" s="503" t="s">
        <v>83</v>
      </c>
      <c r="X13" s="503" t="s">
        <v>82</v>
      </c>
      <c r="Y13" s="503" t="s">
        <v>82</v>
      </c>
      <c r="Z13" s="503" t="s">
        <v>82</v>
      </c>
      <c r="AA13" s="503" t="s">
        <v>82</v>
      </c>
      <c r="AB13" s="503" t="s">
        <v>82</v>
      </c>
      <c r="AC13" s="142" t="s">
        <v>84</v>
      </c>
    </row>
    <row r="14" spans="1:30" s="27" customFormat="1" x14ac:dyDescent="0.2">
      <c r="A14" s="502" t="s">
        <v>85</v>
      </c>
      <c r="B14" s="505" t="s">
        <v>86</v>
      </c>
      <c r="C14" s="505" t="s">
        <v>87</v>
      </c>
      <c r="D14" s="505" t="s">
        <v>88</v>
      </c>
      <c r="E14" s="505" t="s">
        <v>89</v>
      </c>
      <c r="F14" s="505" t="s">
        <v>90</v>
      </c>
      <c r="G14" s="505" t="s">
        <v>91</v>
      </c>
      <c r="H14" s="505" t="s">
        <v>92</v>
      </c>
      <c r="I14" s="505" t="s">
        <v>93</v>
      </c>
      <c r="J14" s="506" t="s">
        <v>94</v>
      </c>
      <c r="K14" s="506" t="s">
        <v>95</v>
      </c>
      <c r="L14" s="505" t="s">
        <v>96</v>
      </c>
      <c r="M14" s="505" t="s">
        <v>97</v>
      </c>
      <c r="N14" s="505" t="s">
        <v>98</v>
      </c>
      <c r="O14" s="505" t="s">
        <v>99</v>
      </c>
      <c r="P14" s="505" t="s">
        <v>100</v>
      </c>
      <c r="Q14" s="505" t="s">
        <v>101</v>
      </c>
      <c r="R14" s="505" t="s">
        <v>102</v>
      </c>
      <c r="S14" s="505" t="s">
        <v>103</v>
      </c>
      <c r="T14" s="505" t="s">
        <v>104</v>
      </c>
      <c r="U14" s="505" t="s">
        <v>105</v>
      </c>
      <c r="V14" s="505" t="s">
        <v>106</v>
      </c>
      <c r="W14" s="505" t="s">
        <v>107</v>
      </c>
      <c r="X14" s="505" t="s">
        <v>108</v>
      </c>
      <c r="Y14" s="505" t="s">
        <v>109</v>
      </c>
      <c r="Z14" s="505" t="s">
        <v>110</v>
      </c>
      <c r="AA14" s="505" t="s">
        <v>111</v>
      </c>
      <c r="AB14" s="505" t="s">
        <v>112</v>
      </c>
      <c r="AC14" s="143" t="s">
        <v>113</v>
      </c>
    </row>
    <row r="15" spans="1:30" s="27" customFormat="1" x14ac:dyDescent="0.2">
      <c r="A15" s="502" t="s">
        <v>114</v>
      </c>
      <c r="B15" s="505">
        <v>1</v>
      </c>
      <c r="C15" s="505">
        <v>2</v>
      </c>
      <c r="D15" s="505">
        <v>3</v>
      </c>
      <c r="E15" s="505">
        <v>4</v>
      </c>
      <c r="F15" s="505">
        <v>5</v>
      </c>
      <c r="G15" s="505">
        <v>6</v>
      </c>
      <c r="H15" s="505">
        <v>7</v>
      </c>
      <c r="I15" s="505">
        <v>8</v>
      </c>
      <c r="J15" s="505">
        <v>9</v>
      </c>
      <c r="K15" s="505">
        <v>10</v>
      </c>
      <c r="L15" s="505">
        <v>11</v>
      </c>
      <c r="M15" s="505">
        <v>12</v>
      </c>
      <c r="N15" s="505">
        <v>13</v>
      </c>
      <c r="O15" s="505">
        <v>14</v>
      </c>
      <c r="P15" s="505">
        <v>15</v>
      </c>
      <c r="Q15" s="505">
        <v>16</v>
      </c>
      <c r="R15" s="505">
        <v>17</v>
      </c>
      <c r="S15" s="505">
        <v>18</v>
      </c>
      <c r="T15" s="505">
        <v>19</v>
      </c>
      <c r="U15" s="505">
        <v>20</v>
      </c>
      <c r="V15" s="505">
        <v>21</v>
      </c>
      <c r="W15" s="505">
        <v>22</v>
      </c>
      <c r="X15" s="505">
        <v>23</v>
      </c>
      <c r="Y15" s="505">
        <v>24</v>
      </c>
      <c r="Z15" s="505">
        <v>25</v>
      </c>
      <c r="AA15" s="505">
        <v>26</v>
      </c>
      <c r="AB15" s="505">
        <v>27</v>
      </c>
      <c r="AC15" s="143">
        <v>28</v>
      </c>
    </row>
    <row r="16" spans="1:30" x14ac:dyDescent="0.2">
      <c r="A16" s="507" t="s">
        <v>115</v>
      </c>
      <c r="B16" s="728" t="s">
        <v>116</v>
      </c>
      <c r="C16" s="729"/>
      <c r="D16" s="729"/>
      <c r="E16" s="729"/>
      <c r="F16" s="730"/>
      <c r="G16" s="751" t="s">
        <v>117</v>
      </c>
      <c r="H16" s="752"/>
      <c r="I16" s="752"/>
      <c r="J16" s="753"/>
      <c r="K16" s="754" t="s">
        <v>118</v>
      </c>
      <c r="L16" s="755"/>
      <c r="M16" s="756"/>
      <c r="N16" s="754" t="s">
        <v>82</v>
      </c>
      <c r="O16" s="755"/>
      <c r="P16" s="755"/>
      <c r="Q16" s="756"/>
      <c r="R16" s="754" t="s">
        <v>119</v>
      </c>
      <c r="S16" s="755"/>
      <c r="T16" s="755"/>
      <c r="U16" s="755"/>
      <c r="V16" s="755"/>
      <c r="W16" s="756"/>
      <c r="X16" s="728" t="s">
        <v>120</v>
      </c>
      <c r="Y16" s="729"/>
      <c r="Z16" s="729"/>
      <c r="AA16" s="729"/>
      <c r="AB16" s="730"/>
      <c r="AC16" s="143" t="s">
        <v>121</v>
      </c>
    </row>
    <row r="17" spans="1:34" ht="12.75" x14ac:dyDescent="0.2">
      <c r="A17" s="508" t="s">
        <v>122</v>
      </c>
      <c r="B17" s="117"/>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09"/>
    </row>
    <row r="18" spans="1:34" s="493" customFormat="1" x14ac:dyDescent="0.2">
      <c r="A18" s="178" t="s">
        <v>123</v>
      </c>
      <c r="B18" s="510">
        <f>IF(B101&lt;80,B102,MIN(B101,80))</f>
        <v>0</v>
      </c>
      <c r="C18" s="510">
        <f t="shared" ref="C18:AB18" si="0">IF(C101&lt;80,C102,MIN(C101,80))</f>
        <v>0</v>
      </c>
      <c r="D18" s="510">
        <f t="shared" si="0"/>
        <v>0</v>
      </c>
      <c r="E18" s="510">
        <f t="shared" si="0"/>
        <v>0</v>
      </c>
      <c r="F18" s="510">
        <f t="shared" si="0"/>
        <v>0</v>
      </c>
      <c r="G18" s="510">
        <f t="shared" si="0"/>
        <v>0</v>
      </c>
      <c r="H18" s="510">
        <f t="shared" si="0"/>
        <v>0</v>
      </c>
      <c r="I18" s="510">
        <f t="shared" si="0"/>
        <v>1.6165667710312981</v>
      </c>
      <c r="J18" s="510">
        <f t="shared" si="0"/>
        <v>23.616566771031298</v>
      </c>
      <c r="K18" s="510">
        <f t="shared" si="0"/>
        <v>41.616566771031302</v>
      </c>
      <c r="L18" s="510">
        <f t="shared" si="0"/>
        <v>51.616566771031302</v>
      </c>
      <c r="M18" s="510">
        <f t="shared" si="0"/>
        <v>51.616566771031302</v>
      </c>
      <c r="N18" s="510">
        <f t="shared" si="0"/>
        <v>80</v>
      </c>
      <c r="O18" s="510">
        <f t="shared" si="0"/>
        <v>80</v>
      </c>
      <c r="P18" s="510">
        <f t="shared" si="0"/>
        <v>80</v>
      </c>
      <c r="Q18" s="510">
        <f t="shared" si="0"/>
        <v>80</v>
      </c>
      <c r="R18" s="510">
        <f t="shared" si="0"/>
        <v>80</v>
      </c>
      <c r="S18" s="510">
        <f t="shared" si="0"/>
        <v>80</v>
      </c>
      <c r="T18" s="510">
        <f t="shared" si="0"/>
        <v>80</v>
      </c>
      <c r="U18" s="510">
        <f t="shared" si="0"/>
        <v>80</v>
      </c>
      <c r="V18" s="510">
        <f t="shared" si="0"/>
        <v>80</v>
      </c>
      <c r="W18" s="510">
        <f t="shared" si="0"/>
        <v>80</v>
      </c>
      <c r="X18" s="510">
        <f t="shared" si="0"/>
        <v>80</v>
      </c>
      <c r="Y18" s="510">
        <f t="shared" si="0"/>
        <v>80</v>
      </c>
      <c r="Z18" s="510">
        <f t="shared" si="0"/>
        <v>80</v>
      </c>
      <c r="AA18" s="510">
        <f t="shared" si="0"/>
        <v>80</v>
      </c>
      <c r="AB18" s="510">
        <f t="shared" si="0"/>
        <v>80</v>
      </c>
      <c r="AC18" s="510">
        <f t="shared" ref="AC18" si="1">IF(AC103&lt;80,AC104,MIN(AC103,80))</f>
        <v>30</v>
      </c>
    </row>
    <row r="19" spans="1:34" x14ac:dyDescent="0.2">
      <c r="A19" s="34" t="s">
        <v>124</v>
      </c>
      <c r="B19" s="71">
        <v>0.5</v>
      </c>
      <c r="C19" s="71">
        <v>0.5</v>
      </c>
      <c r="D19" s="71">
        <v>0.5</v>
      </c>
      <c r="E19" s="71">
        <v>0.5</v>
      </c>
      <c r="F19" s="71">
        <v>0.5</v>
      </c>
      <c r="G19" s="71">
        <v>0.5</v>
      </c>
      <c r="H19" s="71">
        <v>0.55000000000000004</v>
      </c>
      <c r="I19" s="71">
        <v>0.6</v>
      </c>
      <c r="J19" s="511">
        <v>0.65</v>
      </c>
      <c r="K19" s="511">
        <v>0.7</v>
      </c>
      <c r="L19" s="71">
        <v>0.7</v>
      </c>
      <c r="M19" s="71">
        <v>0.7</v>
      </c>
      <c r="N19" s="71">
        <v>0.7</v>
      </c>
      <c r="O19" s="71">
        <v>0.7</v>
      </c>
      <c r="P19" s="71">
        <v>0.7</v>
      </c>
      <c r="Q19" s="71">
        <v>0.4</v>
      </c>
      <c r="R19" s="71">
        <v>0.8</v>
      </c>
      <c r="S19" s="71">
        <v>0.8</v>
      </c>
      <c r="T19" s="71">
        <v>0.8</v>
      </c>
      <c r="U19" s="71">
        <v>0.8</v>
      </c>
      <c r="V19" s="71">
        <v>0.8</v>
      </c>
      <c r="W19" s="71">
        <v>0.7</v>
      </c>
      <c r="X19" s="71">
        <v>0.4</v>
      </c>
      <c r="Y19" s="71">
        <v>0.6</v>
      </c>
      <c r="Z19" s="71">
        <v>0.6</v>
      </c>
      <c r="AA19" s="71">
        <v>0.6</v>
      </c>
      <c r="AB19" s="71">
        <v>0.6</v>
      </c>
      <c r="AC19" s="35">
        <v>0.4</v>
      </c>
    </row>
    <row r="20" spans="1:34" x14ac:dyDescent="0.2">
      <c r="A20" s="204" t="s">
        <v>125</v>
      </c>
      <c r="B20" s="147"/>
      <c r="C20" s="211"/>
      <c r="D20" s="211"/>
      <c r="E20" s="211"/>
      <c r="F20" s="211"/>
      <c r="G20" s="211"/>
      <c r="H20" s="211"/>
      <c r="I20" s="211"/>
      <c r="J20" s="512"/>
      <c r="K20" s="512"/>
      <c r="L20" s="211"/>
      <c r="M20" s="211"/>
      <c r="N20" s="211"/>
      <c r="O20" s="211"/>
      <c r="P20" s="211"/>
      <c r="Q20" s="211"/>
      <c r="R20" s="211"/>
      <c r="S20" s="211"/>
      <c r="T20" s="211"/>
      <c r="U20" s="211"/>
      <c r="V20" s="211"/>
      <c r="W20" s="211"/>
      <c r="X20" s="211"/>
      <c r="Y20" s="211"/>
      <c r="Z20" s="211"/>
      <c r="AA20" s="211"/>
      <c r="AB20" s="208"/>
      <c r="AC20" s="208"/>
    </row>
    <row r="21" spans="1:34" s="283" customFormat="1" x14ac:dyDescent="0.2">
      <c r="A21" s="513" t="s">
        <v>126</v>
      </c>
      <c r="B21" s="209">
        <f t="shared" ref="B21:AC21" si="2">B19*$B$8</f>
        <v>63</v>
      </c>
      <c r="C21" s="209">
        <f t="shared" si="2"/>
        <v>63</v>
      </c>
      <c r="D21" s="209">
        <f t="shared" si="2"/>
        <v>63</v>
      </c>
      <c r="E21" s="209">
        <f t="shared" si="2"/>
        <v>63</v>
      </c>
      <c r="F21" s="209">
        <f t="shared" si="2"/>
        <v>63</v>
      </c>
      <c r="G21" s="209">
        <f t="shared" si="2"/>
        <v>63</v>
      </c>
      <c r="H21" s="209">
        <f t="shared" si="2"/>
        <v>69.300000000000011</v>
      </c>
      <c r="I21" s="209">
        <f t="shared" si="2"/>
        <v>75.599999999999994</v>
      </c>
      <c r="J21" s="209">
        <f t="shared" si="2"/>
        <v>81.900000000000006</v>
      </c>
      <c r="K21" s="209">
        <f t="shared" si="2"/>
        <v>88.199999999999989</v>
      </c>
      <c r="L21" s="209">
        <f t="shared" si="2"/>
        <v>88.199999999999989</v>
      </c>
      <c r="M21" s="209">
        <f t="shared" si="2"/>
        <v>88.199999999999989</v>
      </c>
      <c r="N21" s="209">
        <f t="shared" si="2"/>
        <v>88.199999999999989</v>
      </c>
      <c r="O21" s="209">
        <f t="shared" si="2"/>
        <v>88.199999999999989</v>
      </c>
      <c r="P21" s="209">
        <f t="shared" si="2"/>
        <v>88.199999999999989</v>
      </c>
      <c r="Q21" s="209">
        <f t="shared" si="2"/>
        <v>50.400000000000006</v>
      </c>
      <c r="R21" s="209">
        <f t="shared" si="2"/>
        <v>100.80000000000001</v>
      </c>
      <c r="S21" s="209">
        <f t="shared" si="2"/>
        <v>100.80000000000001</v>
      </c>
      <c r="T21" s="209">
        <f t="shared" si="2"/>
        <v>100.80000000000001</v>
      </c>
      <c r="U21" s="209">
        <f t="shared" si="2"/>
        <v>100.80000000000001</v>
      </c>
      <c r="V21" s="209">
        <f t="shared" si="2"/>
        <v>100.80000000000001</v>
      </c>
      <c r="W21" s="209">
        <f t="shared" si="2"/>
        <v>88.199999999999989</v>
      </c>
      <c r="X21" s="209">
        <f t="shared" si="2"/>
        <v>50.400000000000006</v>
      </c>
      <c r="Y21" s="209">
        <f t="shared" si="2"/>
        <v>75.599999999999994</v>
      </c>
      <c r="Z21" s="209">
        <f t="shared" si="2"/>
        <v>75.599999999999994</v>
      </c>
      <c r="AA21" s="209">
        <f t="shared" si="2"/>
        <v>75.599999999999994</v>
      </c>
      <c r="AB21" s="210">
        <f t="shared" si="2"/>
        <v>75.599999999999994</v>
      </c>
      <c r="AC21" s="137">
        <f t="shared" si="2"/>
        <v>50.400000000000006</v>
      </c>
    </row>
    <row r="22" spans="1:34" x14ac:dyDescent="0.2">
      <c r="A22" s="513" t="s">
        <v>127</v>
      </c>
      <c r="B22" s="37">
        <f t="shared" ref="B22:AC22" si="3">B21*$B$5</f>
        <v>126</v>
      </c>
      <c r="C22" s="37">
        <f t="shared" si="3"/>
        <v>126</v>
      </c>
      <c r="D22" s="37">
        <f t="shared" si="3"/>
        <v>126</v>
      </c>
      <c r="E22" s="37">
        <f t="shared" si="3"/>
        <v>126</v>
      </c>
      <c r="F22" s="37">
        <f t="shared" si="3"/>
        <v>126</v>
      </c>
      <c r="G22" s="37">
        <f t="shared" si="3"/>
        <v>126</v>
      </c>
      <c r="H22" s="37">
        <f t="shared" si="3"/>
        <v>138.60000000000002</v>
      </c>
      <c r="I22" s="37">
        <f t="shared" si="3"/>
        <v>151.19999999999999</v>
      </c>
      <c r="J22" s="37">
        <f t="shared" si="3"/>
        <v>163.80000000000001</v>
      </c>
      <c r="K22" s="37">
        <f t="shared" si="3"/>
        <v>176.39999999999998</v>
      </c>
      <c r="L22" s="37">
        <f t="shared" si="3"/>
        <v>176.39999999999998</v>
      </c>
      <c r="M22" s="37">
        <f t="shared" si="3"/>
        <v>176.39999999999998</v>
      </c>
      <c r="N22" s="37">
        <f t="shared" si="3"/>
        <v>176.39999999999998</v>
      </c>
      <c r="O22" s="37">
        <f t="shared" si="3"/>
        <v>176.39999999999998</v>
      </c>
      <c r="P22" s="37">
        <f t="shared" si="3"/>
        <v>176.39999999999998</v>
      </c>
      <c r="Q22" s="37">
        <f t="shared" si="3"/>
        <v>100.80000000000001</v>
      </c>
      <c r="R22" s="37">
        <f t="shared" si="3"/>
        <v>201.60000000000002</v>
      </c>
      <c r="S22" s="37">
        <f t="shared" si="3"/>
        <v>201.60000000000002</v>
      </c>
      <c r="T22" s="37">
        <f t="shared" si="3"/>
        <v>201.60000000000002</v>
      </c>
      <c r="U22" s="37">
        <f t="shared" si="3"/>
        <v>201.60000000000002</v>
      </c>
      <c r="V22" s="37">
        <f t="shared" si="3"/>
        <v>201.60000000000002</v>
      </c>
      <c r="W22" s="37">
        <f t="shared" si="3"/>
        <v>176.39999999999998</v>
      </c>
      <c r="X22" s="37">
        <f t="shared" si="3"/>
        <v>100.80000000000001</v>
      </c>
      <c r="Y22" s="37">
        <f t="shared" si="3"/>
        <v>151.19999999999999</v>
      </c>
      <c r="Z22" s="37">
        <f t="shared" si="3"/>
        <v>151.19999999999999</v>
      </c>
      <c r="AA22" s="37">
        <f t="shared" si="3"/>
        <v>151.19999999999999</v>
      </c>
      <c r="AB22" s="138">
        <f t="shared" si="3"/>
        <v>151.19999999999999</v>
      </c>
      <c r="AC22" s="37">
        <f t="shared" si="3"/>
        <v>100.80000000000001</v>
      </c>
    </row>
    <row r="23" spans="1:34" x14ac:dyDescent="0.2">
      <c r="A23" s="513" t="s">
        <v>128</v>
      </c>
      <c r="B23" s="139">
        <f>$B$9</f>
        <v>9</v>
      </c>
      <c r="C23" s="139">
        <f t="shared" ref="C23:AC23" si="4">$B$9</f>
        <v>9</v>
      </c>
      <c r="D23" s="139">
        <f t="shared" si="4"/>
        <v>9</v>
      </c>
      <c r="E23" s="139">
        <f t="shared" si="4"/>
        <v>9</v>
      </c>
      <c r="F23" s="139">
        <f t="shared" si="4"/>
        <v>9</v>
      </c>
      <c r="G23" s="139">
        <f t="shared" si="4"/>
        <v>9</v>
      </c>
      <c r="H23" s="139">
        <f t="shared" si="4"/>
        <v>9</v>
      </c>
      <c r="I23" s="139">
        <f t="shared" si="4"/>
        <v>9</v>
      </c>
      <c r="J23" s="139">
        <f t="shared" si="4"/>
        <v>9</v>
      </c>
      <c r="K23" s="139">
        <f t="shared" si="4"/>
        <v>9</v>
      </c>
      <c r="L23" s="139">
        <f t="shared" si="4"/>
        <v>9</v>
      </c>
      <c r="M23" s="139">
        <f t="shared" si="4"/>
        <v>9</v>
      </c>
      <c r="N23" s="139">
        <f t="shared" si="4"/>
        <v>9</v>
      </c>
      <c r="O23" s="139">
        <f t="shared" si="4"/>
        <v>9</v>
      </c>
      <c r="P23" s="139">
        <f t="shared" si="4"/>
        <v>9</v>
      </c>
      <c r="Q23" s="139">
        <f t="shared" si="4"/>
        <v>9</v>
      </c>
      <c r="R23" s="139">
        <f t="shared" si="4"/>
        <v>9</v>
      </c>
      <c r="S23" s="139">
        <f t="shared" si="4"/>
        <v>9</v>
      </c>
      <c r="T23" s="139">
        <f t="shared" si="4"/>
        <v>9</v>
      </c>
      <c r="U23" s="139">
        <f t="shared" si="4"/>
        <v>9</v>
      </c>
      <c r="V23" s="139">
        <f t="shared" si="4"/>
        <v>9</v>
      </c>
      <c r="W23" s="139">
        <f t="shared" si="4"/>
        <v>9</v>
      </c>
      <c r="X23" s="139">
        <f t="shared" si="4"/>
        <v>9</v>
      </c>
      <c r="Y23" s="139">
        <f t="shared" si="4"/>
        <v>9</v>
      </c>
      <c r="Z23" s="139">
        <f t="shared" si="4"/>
        <v>9</v>
      </c>
      <c r="AA23" s="139">
        <f t="shared" si="4"/>
        <v>9</v>
      </c>
      <c r="AB23" s="140">
        <f t="shared" si="4"/>
        <v>9</v>
      </c>
      <c r="AC23" s="139">
        <f t="shared" si="4"/>
        <v>9</v>
      </c>
    </row>
    <row r="24" spans="1:34" x14ac:dyDescent="0.2">
      <c r="A24" s="513" t="s">
        <v>129</v>
      </c>
      <c r="B24" s="139">
        <f t="shared" ref="B24:AB24" si="5">IF(ISBLANK(B145),0,$B$10)</f>
        <v>0</v>
      </c>
      <c r="C24" s="139">
        <f t="shared" si="5"/>
        <v>0</v>
      </c>
      <c r="D24" s="139">
        <f t="shared" si="5"/>
        <v>0</v>
      </c>
      <c r="E24" s="139">
        <f t="shared" si="5"/>
        <v>0</v>
      </c>
      <c r="F24" s="139">
        <f t="shared" si="5"/>
        <v>0</v>
      </c>
      <c r="G24" s="139">
        <f t="shared" si="5"/>
        <v>0</v>
      </c>
      <c r="H24" s="139">
        <f t="shared" si="5"/>
        <v>0</v>
      </c>
      <c r="I24" s="139">
        <f t="shared" si="5"/>
        <v>0</v>
      </c>
      <c r="J24" s="139">
        <f t="shared" si="5"/>
        <v>81</v>
      </c>
      <c r="K24" s="139">
        <f t="shared" si="5"/>
        <v>81</v>
      </c>
      <c r="L24" s="139">
        <f t="shared" si="5"/>
        <v>81</v>
      </c>
      <c r="M24" s="139">
        <f t="shared" si="5"/>
        <v>81</v>
      </c>
      <c r="N24" s="139">
        <f t="shared" si="5"/>
        <v>0</v>
      </c>
      <c r="O24" s="139">
        <f t="shared" si="5"/>
        <v>0</v>
      </c>
      <c r="P24" s="139">
        <f t="shared" si="5"/>
        <v>81</v>
      </c>
      <c r="Q24" s="139">
        <f t="shared" si="5"/>
        <v>0</v>
      </c>
      <c r="R24" s="139">
        <f t="shared" si="5"/>
        <v>81</v>
      </c>
      <c r="S24" s="139">
        <f t="shared" si="5"/>
        <v>81</v>
      </c>
      <c r="T24" s="139">
        <f t="shared" si="5"/>
        <v>81</v>
      </c>
      <c r="U24" s="139">
        <f t="shared" si="5"/>
        <v>81</v>
      </c>
      <c r="V24" s="139">
        <f t="shared" si="5"/>
        <v>81</v>
      </c>
      <c r="W24" s="139">
        <f t="shared" si="5"/>
        <v>81</v>
      </c>
      <c r="X24" s="139">
        <f t="shared" si="5"/>
        <v>0</v>
      </c>
      <c r="Y24" s="139">
        <f t="shared" si="5"/>
        <v>0</v>
      </c>
      <c r="Z24" s="139">
        <f t="shared" si="5"/>
        <v>0</v>
      </c>
      <c r="AA24" s="139">
        <f t="shared" si="5"/>
        <v>0</v>
      </c>
      <c r="AB24" s="140">
        <f t="shared" si="5"/>
        <v>0</v>
      </c>
      <c r="AC24" s="139">
        <f>IF(ISBLANK(AC122),0,$B$10)</f>
        <v>0</v>
      </c>
    </row>
    <row r="25" spans="1:34" x14ac:dyDescent="0.2">
      <c r="A25" s="513" t="s">
        <v>130</v>
      </c>
      <c r="B25" s="37">
        <f>B21*$B$5+SUM(B23:B24)</f>
        <v>135</v>
      </c>
      <c r="C25" s="37">
        <f t="shared" ref="C25:AB25" si="6">C21*$B$5+SUM(C23:C24)</f>
        <v>135</v>
      </c>
      <c r="D25" s="37">
        <f t="shared" si="6"/>
        <v>135</v>
      </c>
      <c r="E25" s="37">
        <f t="shared" si="6"/>
        <v>135</v>
      </c>
      <c r="F25" s="37">
        <f t="shared" si="6"/>
        <v>135</v>
      </c>
      <c r="G25" s="37">
        <f t="shared" si="6"/>
        <v>135</v>
      </c>
      <c r="H25" s="37">
        <f t="shared" si="6"/>
        <v>147.60000000000002</v>
      </c>
      <c r="I25" s="37">
        <f t="shared" si="6"/>
        <v>160.19999999999999</v>
      </c>
      <c r="J25" s="37">
        <f t="shared" si="6"/>
        <v>253.8</v>
      </c>
      <c r="K25" s="37">
        <f t="shared" si="6"/>
        <v>266.39999999999998</v>
      </c>
      <c r="L25" s="37">
        <f t="shared" si="6"/>
        <v>266.39999999999998</v>
      </c>
      <c r="M25" s="37">
        <f t="shared" si="6"/>
        <v>266.39999999999998</v>
      </c>
      <c r="N25" s="37">
        <f t="shared" si="6"/>
        <v>185.39999999999998</v>
      </c>
      <c r="O25" s="37">
        <f t="shared" si="6"/>
        <v>185.39999999999998</v>
      </c>
      <c r="P25" s="37">
        <f t="shared" si="6"/>
        <v>266.39999999999998</v>
      </c>
      <c r="Q25" s="37">
        <f t="shared" si="6"/>
        <v>109.80000000000001</v>
      </c>
      <c r="R25" s="37">
        <f t="shared" si="6"/>
        <v>291.60000000000002</v>
      </c>
      <c r="S25" s="37">
        <f t="shared" si="6"/>
        <v>291.60000000000002</v>
      </c>
      <c r="T25" s="37">
        <f t="shared" si="6"/>
        <v>291.60000000000002</v>
      </c>
      <c r="U25" s="37">
        <f t="shared" si="6"/>
        <v>291.60000000000002</v>
      </c>
      <c r="V25" s="37">
        <f t="shared" si="6"/>
        <v>291.60000000000002</v>
      </c>
      <c r="W25" s="37">
        <f t="shared" si="6"/>
        <v>266.39999999999998</v>
      </c>
      <c r="X25" s="37">
        <f t="shared" si="6"/>
        <v>109.80000000000001</v>
      </c>
      <c r="Y25" s="37">
        <f t="shared" si="6"/>
        <v>160.19999999999999</v>
      </c>
      <c r="Z25" s="37">
        <f t="shared" si="6"/>
        <v>160.19999999999999</v>
      </c>
      <c r="AA25" s="37">
        <f t="shared" si="6"/>
        <v>160.19999999999999</v>
      </c>
      <c r="AB25" s="138">
        <f t="shared" si="6"/>
        <v>160.19999999999999</v>
      </c>
      <c r="AC25" s="37">
        <f t="shared" ref="AC25" si="7">AC21*$B$5+SUM(AC23:AC24)</f>
        <v>109.80000000000001</v>
      </c>
    </row>
    <row r="26" spans="1:34" x14ac:dyDescent="0.2">
      <c r="A26" s="514" t="s">
        <v>131</v>
      </c>
      <c r="B26" s="39">
        <f t="shared" ref="B26:AB26" si="8">-IF(ISBLANK(B144),0,MIN(B$22*$H$10,B$22-$B$7*$H$9))</f>
        <v>-25.199999999999989</v>
      </c>
      <c r="C26" s="39">
        <f t="shared" si="8"/>
        <v>-25.199999999999989</v>
      </c>
      <c r="D26" s="39">
        <f t="shared" si="8"/>
        <v>-25.199999999999989</v>
      </c>
      <c r="E26" s="39">
        <f t="shared" si="8"/>
        <v>-25.199999999999989</v>
      </c>
      <c r="F26" s="39">
        <f t="shared" si="8"/>
        <v>-25.199999999999989</v>
      </c>
      <c r="G26" s="39">
        <f t="shared" si="8"/>
        <v>-25.199999999999989</v>
      </c>
      <c r="H26" s="39">
        <f t="shared" si="8"/>
        <v>-37.800000000000011</v>
      </c>
      <c r="I26" s="39">
        <f t="shared" si="8"/>
        <v>-50.399999999999977</v>
      </c>
      <c r="J26" s="39">
        <f t="shared" si="8"/>
        <v>0</v>
      </c>
      <c r="K26" s="39">
        <f t="shared" si="8"/>
        <v>0</v>
      </c>
      <c r="L26" s="39">
        <f t="shared" si="8"/>
        <v>0</v>
      </c>
      <c r="M26" s="39">
        <f t="shared" si="8"/>
        <v>0</v>
      </c>
      <c r="N26" s="39">
        <f t="shared" si="8"/>
        <v>-62.974799999999988</v>
      </c>
      <c r="O26" s="39">
        <f t="shared" si="8"/>
        <v>-62.974799999999988</v>
      </c>
      <c r="P26" s="39">
        <f t="shared" si="8"/>
        <v>0</v>
      </c>
      <c r="Q26" s="39">
        <f t="shared" si="8"/>
        <v>0</v>
      </c>
      <c r="R26" s="39">
        <f t="shared" si="8"/>
        <v>0</v>
      </c>
      <c r="S26" s="39">
        <f t="shared" si="8"/>
        <v>0</v>
      </c>
      <c r="T26" s="39">
        <f t="shared" si="8"/>
        <v>0</v>
      </c>
      <c r="U26" s="39">
        <f t="shared" si="8"/>
        <v>0</v>
      </c>
      <c r="V26" s="39">
        <f t="shared" si="8"/>
        <v>0</v>
      </c>
      <c r="W26" s="39">
        <f t="shared" si="8"/>
        <v>0</v>
      </c>
      <c r="X26" s="39">
        <f t="shared" si="8"/>
        <v>0</v>
      </c>
      <c r="Y26" s="39">
        <f t="shared" si="8"/>
        <v>-50.399999999999977</v>
      </c>
      <c r="Z26" s="39">
        <f t="shared" si="8"/>
        <v>-50.399999999999977</v>
      </c>
      <c r="AA26" s="39">
        <f t="shared" si="8"/>
        <v>-50.399999999999977</v>
      </c>
      <c r="AB26" s="141">
        <f t="shared" si="8"/>
        <v>-50.399999999999977</v>
      </c>
      <c r="AC26" s="39">
        <f>-IF(ISBLANK(AC119),0,MIN(AC$22*$H$10,AC$22-$B$7*$H$9))</f>
        <v>0</v>
      </c>
    </row>
    <row r="27" spans="1:34" x14ac:dyDescent="0.2">
      <c r="A27" s="513" t="s">
        <v>132</v>
      </c>
      <c r="B27" s="39">
        <f t="shared" ref="B27:AB27" si="9">SUM(B25:B26)</f>
        <v>109.80000000000001</v>
      </c>
      <c r="C27" s="39">
        <f t="shared" si="9"/>
        <v>109.80000000000001</v>
      </c>
      <c r="D27" s="39">
        <f t="shared" si="9"/>
        <v>109.80000000000001</v>
      </c>
      <c r="E27" s="39">
        <f t="shared" si="9"/>
        <v>109.80000000000001</v>
      </c>
      <c r="F27" s="39">
        <f t="shared" si="9"/>
        <v>109.80000000000001</v>
      </c>
      <c r="G27" s="39">
        <f t="shared" si="9"/>
        <v>109.80000000000001</v>
      </c>
      <c r="H27" s="39">
        <f t="shared" si="9"/>
        <v>109.80000000000001</v>
      </c>
      <c r="I27" s="39">
        <f t="shared" si="9"/>
        <v>109.80000000000001</v>
      </c>
      <c r="J27" s="39">
        <f t="shared" si="9"/>
        <v>253.8</v>
      </c>
      <c r="K27" s="39">
        <f t="shared" si="9"/>
        <v>266.39999999999998</v>
      </c>
      <c r="L27" s="39">
        <f t="shared" si="9"/>
        <v>266.39999999999998</v>
      </c>
      <c r="M27" s="39">
        <f t="shared" si="9"/>
        <v>266.39999999999998</v>
      </c>
      <c r="N27" s="39">
        <f t="shared" si="9"/>
        <v>122.42519999999999</v>
      </c>
      <c r="O27" s="39">
        <f t="shared" si="9"/>
        <v>122.42519999999999</v>
      </c>
      <c r="P27" s="39">
        <f t="shared" si="9"/>
        <v>266.39999999999998</v>
      </c>
      <c r="Q27" s="39">
        <f t="shared" si="9"/>
        <v>109.80000000000001</v>
      </c>
      <c r="R27" s="39">
        <f t="shared" si="9"/>
        <v>291.60000000000002</v>
      </c>
      <c r="S27" s="39">
        <f t="shared" si="9"/>
        <v>291.60000000000002</v>
      </c>
      <c r="T27" s="39">
        <f t="shared" si="9"/>
        <v>291.60000000000002</v>
      </c>
      <c r="U27" s="39">
        <f t="shared" si="9"/>
        <v>291.60000000000002</v>
      </c>
      <c r="V27" s="39">
        <f t="shared" si="9"/>
        <v>291.60000000000002</v>
      </c>
      <c r="W27" s="39">
        <f t="shared" si="9"/>
        <v>266.39999999999998</v>
      </c>
      <c r="X27" s="39">
        <f t="shared" si="9"/>
        <v>109.80000000000001</v>
      </c>
      <c r="Y27" s="39">
        <f t="shared" si="9"/>
        <v>109.80000000000001</v>
      </c>
      <c r="Z27" s="39">
        <f t="shared" si="9"/>
        <v>109.80000000000001</v>
      </c>
      <c r="AA27" s="39">
        <f t="shared" si="9"/>
        <v>109.80000000000001</v>
      </c>
      <c r="AB27" s="141">
        <f t="shared" si="9"/>
        <v>109.80000000000001</v>
      </c>
      <c r="AC27" s="39">
        <f t="shared" ref="AC27" si="10">SUM(AC25:AC26)</f>
        <v>109.80000000000001</v>
      </c>
    </row>
    <row r="28" spans="1:34" x14ac:dyDescent="0.2">
      <c r="A28" s="514" t="s">
        <v>133</v>
      </c>
      <c r="B28" s="41">
        <f>AVERAGE(AA22:AB22,B22)</f>
        <v>142.79999999999998</v>
      </c>
      <c r="C28" s="41">
        <f>AVERAGE(AB22,B22:C22)</f>
        <v>134.4</v>
      </c>
      <c r="D28" s="41">
        <f t="shared" ref="D28:AB28" si="11">AVERAGE(B22:D22)</f>
        <v>126</v>
      </c>
      <c r="E28" s="41">
        <f t="shared" si="11"/>
        <v>126</v>
      </c>
      <c r="F28" s="41">
        <f t="shared" si="11"/>
        <v>126</v>
      </c>
      <c r="G28" s="41">
        <f t="shared" si="11"/>
        <v>126</v>
      </c>
      <c r="H28" s="41">
        <f t="shared" si="11"/>
        <v>130.20000000000002</v>
      </c>
      <c r="I28" s="41">
        <f t="shared" si="11"/>
        <v>138.6</v>
      </c>
      <c r="J28" s="41">
        <f t="shared" si="11"/>
        <v>151.20000000000002</v>
      </c>
      <c r="K28" s="41">
        <f t="shared" si="11"/>
        <v>163.79999999999998</v>
      </c>
      <c r="L28" s="41">
        <f t="shared" si="11"/>
        <v>172.19999999999996</v>
      </c>
      <c r="M28" s="41">
        <f t="shared" si="11"/>
        <v>176.39999999999998</v>
      </c>
      <c r="N28" s="41">
        <f t="shared" si="11"/>
        <v>176.39999999999998</v>
      </c>
      <c r="O28" s="41">
        <f t="shared" si="11"/>
        <v>176.39999999999998</v>
      </c>
      <c r="P28" s="41">
        <f t="shared" si="11"/>
        <v>176.39999999999998</v>
      </c>
      <c r="Q28" s="41">
        <f t="shared" si="11"/>
        <v>151.19999999999999</v>
      </c>
      <c r="R28" s="41">
        <f t="shared" si="11"/>
        <v>159.6</v>
      </c>
      <c r="S28" s="41">
        <f t="shared" si="11"/>
        <v>168.00000000000003</v>
      </c>
      <c r="T28" s="41">
        <f t="shared" si="11"/>
        <v>201.60000000000002</v>
      </c>
      <c r="U28" s="41">
        <f t="shared" si="11"/>
        <v>201.60000000000002</v>
      </c>
      <c r="V28" s="41">
        <f t="shared" si="11"/>
        <v>201.60000000000002</v>
      </c>
      <c r="W28" s="41">
        <f t="shared" si="11"/>
        <v>193.20000000000002</v>
      </c>
      <c r="X28" s="41">
        <f t="shared" si="11"/>
        <v>159.6</v>
      </c>
      <c r="Y28" s="41">
        <f t="shared" si="11"/>
        <v>142.79999999999998</v>
      </c>
      <c r="Z28" s="41">
        <f t="shared" si="11"/>
        <v>134.4</v>
      </c>
      <c r="AA28" s="41">
        <f t="shared" si="11"/>
        <v>151.19999999999999</v>
      </c>
      <c r="AB28" s="639">
        <f t="shared" si="11"/>
        <v>151.19999999999999</v>
      </c>
      <c r="AC28" s="39">
        <f>SUM(AC25:AC26)</f>
        <v>109.80000000000001</v>
      </c>
    </row>
    <row r="29" spans="1:34" x14ac:dyDescent="0.2">
      <c r="A29" s="515" t="s">
        <v>134</v>
      </c>
      <c r="B29" s="138"/>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37"/>
    </row>
    <row r="30" spans="1:34" x14ac:dyDescent="0.2">
      <c r="A30" s="514" t="s">
        <v>135</v>
      </c>
      <c r="B30" s="39">
        <f t="shared" ref="B30:AB30" si="12">IF(ISBLANK(B144),0,$B$11)</f>
        <v>9</v>
      </c>
      <c r="C30" s="39">
        <f t="shared" si="12"/>
        <v>9</v>
      </c>
      <c r="D30" s="39">
        <f t="shared" si="12"/>
        <v>9</v>
      </c>
      <c r="E30" s="39">
        <f t="shared" si="12"/>
        <v>9</v>
      </c>
      <c r="F30" s="39">
        <f t="shared" si="12"/>
        <v>9</v>
      </c>
      <c r="G30" s="39">
        <f t="shared" si="12"/>
        <v>9</v>
      </c>
      <c r="H30" s="39">
        <f t="shared" si="12"/>
        <v>9</v>
      </c>
      <c r="I30" s="39">
        <f t="shared" si="12"/>
        <v>9</v>
      </c>
      <c r="J30" s="39">
        <f t="shared" si="12"/>
        <v>0</v>
      </c>
      <c r="K30" s="39">
        <f t="shared" si="12"/>
        <v>0</v>
      </c>
      <c r="L30" s="39">
        <f t="shared" si="12"/>
        <v>0</v>
      </c>
      <c r="M30" s="39">
        <f t="shared" si="12"/>
        <v>0</v>
      </c>
      <c r="N30" s="39">
        <f t="shared" si="12"/>
        <v>9</v>
      </c>
      <c r="O30" s="39">
        <f t="shared" si="12"/>
        <v>9</v>
      </c>
      <c r="P30" s="39">
        <f t="shared" si="12"/>
        <v>0</v>
      </c>
      <c r="Q30" s="39">
        <f t="shared" si="12"/>
        <v>9</v>
      </c>
      <c r="R30" s="39">
        <f t="shared" si="12"/>
        <v>0</v>
      </c>
      <c r="S30" s="39">
        <f t="shared" si="12"/>
        <v>0</v>
      </c>
      <c r="T30" s="39">
        <f t="shared" si="12"/>
        <v>0</v>
      </c>
      <c r="U30" s="39">
        <f t="shared" si="12"/>
        <v>0</v>
      </c>
      <c r="V30" s="39">
        <f t="shared" si="12"/>
        <v>0</v>
      </c>
      <c r="W30" s="39">
        <f t="shared" si="12"/>
        <v>0</v>
      </c>
      <c r="X30" s="39">
        <f t="shared" si="12"/>
        <v>9</v>
      </c>
      <c r="Y30" s="39">
        <f t="shared" si="12"/>
        <v>9</v>
      </c>
      <c r="Z30" s="39">
        <f t="shared" si="12"/>
        <v>9</v>
      </c>
      <c r="AA30" s="39">
        <f t="shared" si="12"/>
        <v>9</v>
      </c>
      <c r="AB30" s="141">
        <f t="shared" si="12"/>
        <v>9</v>
      </c>
      <c r="AC30" s="39">
        <f>IF(ISBLANK(AC150),0,$B$11)</f>
        <v>0</v>
      </c>
    </row>
    <row r="31" spans="1:34" ht="12.75" x14ac:dyDescent="0.2">
      <c r="A31" s="508" t="s">
        <v>136</v>
      </c>
      <c r="B31" s="117"/>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641"/>
    </row>
    <row r="32" spans="1:34" s="518" customFormat="1" x14ac:dyDescent="0.2">
      <c r="A32" s="516" t="s">
        <v>137</v>
      </c>
      <c r="B32" s="35">
        <v>0.7</v>
      </c>
      <c r="C32" s="35">
        <v>0.7</v>
      </c>
      <c r="D32" s="35">
        <v>0.7</v>
      </c>
      <c r="E32" s="35">
        <v>0.7</v>
      </c>
      <c r="F32" s="35">
        <v>0.7</v>
      </c>
      <c r="G32" s="35">
        <v>0.7</v>
      </c>
      <c r="H32" s="35">
        <v>0.8</v>
      </c>
      <c r="I32" s="35">
        <v>0.8</v>
      </c>
      <c r="J32" s="35">
        <v>0.8</v>
      </c>
      <c r="K32" s="35">
        <v>0.9</v>
      </c>
      <c r="L32" s="35">
        <v>0.9</v>
      </c>
      <c r="M32" s="35">
        <v>0.9</v>
      </c>
      <c r="N32" s="35">
        <v>1</v>
      </c>
      <c r="O32" s="35">
        <v>1</v>
      </c>
      <c r="P32" s="35">
        <v>1</v>
      </c>
      <c r="Q32" s="35">
        <v>1</v>
      </c>
      <c r="R32" s="35">
        <v>1</v>
      </c>
      <c r="S32" s="35">
        <v>1</v>
      </c>
      <c r="T32" s="35">
        <v>1</v>
      </c>
      <c r="U32" s="35">
        <v>1</v>
      </c>
      <c r="V32" s="35">
        <v>1</v>
      </c>
      <c r="W32" s="35">
        <v>1</v>
      </c>
      <c r="X32" s="35">
        <v>1</v>
      </c>
      <c r="Y32" s="35">
        <v>1</v>
      </c>
      <c r="Z32" s="35">
        <v>1</v>
      </c>
      <c r="AA32" s="35">
        <v>1</v>
      </c>
      <c r="AB32" s="147">
        <v>1</v>
      </c>
      <c r="AC32" s="35">
        <v>0.7</v>
      </c>
      <c r="AD32" s="517"/>
      <c r="AE32" s="517"/>
      <c r="AF32" s="517"/>
      <c r="AG32" s="517"/>
      <c r="AH32" s="517"/>
    </row>
    <row r="33" spans="1:34" s="518" customFormat="1" x14ac:dyDescent="0.2">
      <c r="A33" s="516" t="s">
        <v>138</v>
      </c>
      <c r="B33" s="43">
        <f t="shared" ref="B33:AC33" si="13">B32*0.8</f>
        <v>0.55999999999999994</v>
      </c>
      <c r="C33" s="43">
        <f t="shared" si="13"/>
        <v>0.55999999999999994</v>
      </c>
      <c r="D33" s="43">
        <f t="shared" si="13"/>
        <v>0.55999999999999994</v>
      </c>
      <c r="E33" s="43">
        <f t="shared" si="13"/>
        <v>0.55999999999999994</v>
      </c>
      <c r="F33" s="43">
        <f t="shared" si="13"/>
        <v>0.55999999999999994</v>
      </c>
      <c r="G33" s="43">
        <f t="shared" si="13"/>
        <v>0.55999999999999994</v>
      </c>
      <c r="H33" s="43">
        <f t="shared" si="13"/>
        <v>0.64000000000000012</v>
      </c>
      <c r="I33" s="43">
        <f t="shared" si="13"/>
        <v>0.64000000000000012</v>
      </c>
      <c r="J33" s="43">
        <f t="shared" si="13"/>
        <v>0.64000000000000012</v>
      </c>
      <c r="K33" s="43">
        <f t="shared" si="13"/>
        <v>0.72000000000000008</v>
      </c>
      <c r="L33" s="43">
        <f t="shared" si="13"/>
        <v>0.72000000000000008</v>
      </c>
      <c r="M33" s="43">
        <f t="shared" si="13"/>
        <v>0.72000000000000008</v>
      </c>
      <c r="N33" s="43">
        <f t="shared" si="13"/>
        <v>0.8</v>
      </c>
      <c r="O33" s="43">
        <f t="shared" si="13"/>
        <v>0.8</v>
      </c>
      <c r="P33" s="43">
        <f t="shared" si="13"/>
        <v>0.8</v>
      </c>
      <c r="Q33" s="43">
        <f t="shared" si="13"/>
        <v>0.8</v>
      </c>
      <c r="R33" s="43">
        <f t="shared" si="13"/>
        <v>0.8</v>
      </c>
      <c r="S33" s="43">
        <f t="shared" si="13"/>
        <v>0.8</v>
      </c>
      <c r="T33" s="43">
        <f t="shared" si="13"/>
        <v>0.8</v>
      </c>
      <c r="U33" s="43">
        <f t="shared" si="13"/>
        <v>0.8</v>
      </c>
      <c r="V33" s="43">
        <f t="shared" si="13"/>
        <v>0.8</v>
      </c>
      <c r="W33" s="43">
        <f t="shared" si="13"/>
        <v>0.8</v>
      </c>
      <c r="X33" s="43">
        <f t="shared" si="13"/>
        <v>0.8</v>
      </c>
      <c r="Y33" s="43">
        <f t="shared" si="13"/>
        <v>0.8</v>
      </c>
      <c r="Z33" s="43">
        <f t="shared" si="13"/>
        <v>0.8</v>
      </c>
      <c r="AA33" s="43">
        <f t="shared" si="13"/>
        <v>0.8</v>
      </c>
      <c r="AB33" s="640">
        <f t="shared" si="13"/>
        <v>0.8</v>
      </c>
      <c r="AC33" s="43">
        <f t="shared" si="13"/>
        <v>0.55999999999999994</v>
      </c>
      <c r="AD33" s="517"/>
      <c r="AE33" s="517"/>
      <c r="AF33" s="517"/>
      <c r="AG33" s="517"/>
      <c r="AH33" s="517"/>
    </row>
    <row r="34" spans="1:34" s="518" customFormat="1" x14ac:dyDescent="0.2">
      <c r="A34" s="516" t="s">
        <v>139</v>
      </c>
      <c r="B34" s="43">
        <f>((B36*$B$176)/$B$2)</f>
        <v>0.47784462466075289</v>
      </c>
      <c r="C34" s="43">
        <f t="shared" ref="C34:AC34" si="14">((C36*$B$176)/$B$2)</f>
        <v>0.47784462466075289</v>
      </c>
      <c r="D34" s="43">
        <f t="shared" si="14"/>
        <v>0.47784462466075289</v>
      </c>
      <c r="E34" s="43">
        <f t="shared" si="14"/>
        <v>0.47784462466075289</v>
      </c>
      <c r="F34" s="43">
        <f t="shared" si="14"/>
        <v>0.47784462466075289</v>
      </c>
      <c r="G34" s="43">
        <f t="shared" si="14"/>
        <v>0.47784462466075289</v>
      </c>
      <c r="H34" s="43">
        <f t="shared" si="14"/>
        <v>0.54610814246943185</v>
      </c>
      <c r="I34" s="43">
        <f t="shared" si="14"/>
        <v>0.54610814246943185</v>
      </c>
      <c r="J34" s="43">
        <f t="shared" si="14"/>
        <v>0.54610814246943185</v>
      </c>
      <c r="K34" s="43">
        <f t="shared" si="14"/>
        <v>0.61437166027811085</v>
      </c>
      <c r="L34" s="43">
        <f t="shared" si="14"/>
        <v>0.61437166027811085</v>
      </c>
      <c r="M34" s="43">
        <f t="shared" si="14"/>
        <v>0.61437166027811085</v>
      </c>
      <c r="N34" s="43">
        <f t="shared" si="14"/>
        <v>0.68263517808678986</v>
      </c>
      <c r="O34" s="43">
        <f t="shared" si="14"/>
        <v>0.68263517808678986</v>
      </c>
      <c r="P34" s="43">
        <f t="shared" si="14"/>
        <v>0.68263517808678986</v>
      </c>
      <c r="Q34" s="43">
        <f t="shared" si="14"/>
        <v>0.68263517808678986</v>
      </c>
      <c r="R34" s="43">
        <f t="shared" si="14"/>
        <v>0.68263517808678986</v>
      </c>
      <c r="S34" s="43">
        <f t="shared" si="14"/>
        <v>0.68263517808678986</v>
      </c>
      <c r="T34" s="43">
        <f t="shared" si="14"/>
        <v>0.68263517808678986</v>
      </c>
      <c r="U34" s="43">
        <f t="shared" si="14"/>
        <v>0.68263517808678986</v>
      </c>
      <c r="V34" s="43">
        <f t="shared" si="14"/>
        <v>0.68263517808678986</v>
      </c>
      <c r="W34" s="43">
        <f t="shared" si="14"/>
        <v>0.68263517808678986</v>
      </c>
      <c r="X34" s="43">
        <f t="shared" si="14"/>
        <v>0.68263517808678986</v>
      </c>
      <c r="Y34" s="43">
        <f t="shared" si="14"/>
        <v>0.68263517808678986</v>
      </c>
      <c r="Z34" s="43">
        <f t="shared" si="14"/>
        <v>0.68263517808678986</v>
      </c>
      <c r="AA34" s="43">
        <f t="shared" si="14"/>
        <v>0.68263517808678986</v>
      </c>
      <c r="AB34" s="43">
        <f t="shared" si="14"/>
        <v>0.68263517808678986</v>
      </c>
      <c r="AC34" s="43">
        <f t="shared" si="14"/>
        <v>0.47784462466075289</v>
      </c>
      <c r="AD34" s="517"/>
      <c r="AE34" s="517"/>
      <c r="AF34" s="517"/>
      <c r="AG34" s="517"/>
      <c r="AH34" s="517"/>
    </row>
    <row r="35" spans="1:34" s="518" customFormat="1" x14ac:dyDescent="0.2">
      <c r="A35" s="513" t="s">
        <v>140</v>
      </c>
      <c r="B35" s="519">
        <f t="shared" ref="B35:AC35" si="15">ROUND($B$2*B$32,2)</f>
        <v>3.5</v>
      </c>
      <c r="C35" s="519">
        <f t="shared" si="15"/>
        <v>3.5</v>
      </c>
      <c r="D35" s="519">
        <f t="shared" si="15"/>
        <v>3.5</v>
      </c>
      <c r="E35" s="519">
        <f t="shared" si="15"/>
        <v>3.5</v>
      </c>
      <c r="F35" s="519">
        <f t="shared" si="15"/>
        <v>3.5</v>
      </c>
      <c r="G35" s="519">
        <f t="shared" si="15"/>
        <v>3.5</v>
      </c>
      <c r="H35" s="519">
        <f t="shared" si="15"/>
        <v>4</v>
      </c>
      <c r="I35" s="519">
        <f t="shared" si="15"/>
        <v>4</v>
      </c>
      <c r="J35" s="519">
        <f t="shared" si="15"/>
        <v>4</v>
      </c>
      <c r="K35" s="519">
        <f t="shared" si="15"/>
        <v>4.5</v>
      </c>
      <c r="L35" s="519">
        <f t="shared" si="15"/>
        <v>4.5</v>
      </c>
      <c r="M35" s="519">
        <f t="shared" si="15"/>
        <v>4.5</v>
      </c>
      <c r="N35" s="519">
        <f t="shared" si="15"/>
        <v>5</v>
      </c>
      <c r="O35" s="519">
        <f t="shared" si="15"/>
        <v>5</v>
      </c>
      <c r="P35" s="519">
        <f t="shared" si="15"/>
        <v>5</v>
      </c>
      <c r="Q35" s="519">
        <f t="shared" si="15"/>
        <v>5</v>
      </c>
      <c r="R35" s="519">
        <f t="shared" si="15"/>
        <v>5</v>
      </c>
      <c r="S35" s="519">
        <f t="shared" si="15"/>
        <v>5</v>
      </c>
      <c r="T35" s="519">
        <f t="shared" si="15"/>
        <v>5</v>
      </c>
      <c r="U35" s="519">
        <f t="shared" si="15"/>
        <v>5</v>
      </c>
      <c r="V35" s="519">
        <f t="shared" si="15"/>
        <v>5</v>
      </c>
      <c r="W35" s="519">
        <f t="shared" si="15"/>
        <v>5</v>
      </c>
      <c r="X35" s="519">
        <f t="shared" si="15"/>
        <v>5</v>
      </c>
      <c r="Y35" s="519">
        <f t="shared" si="15"/>
        <v>5</v>
      </c>
      <c r="Z35" s="519">
        <f t="shared" si="15"/>
        <v>5</v>
      </c>
      <c r="AA35" s="519">
        <f t="shared" si="15"/>
        <v>5</v>
      </c>
      <c r="AB35" s="635">
        <f t="shared" si="15"/>
        <v>5</v>
      </c>
      <c r="AC35" s="519">
        <f t="shared" si="15"/>
        <v>3.5</v>
      </c>
      <c r="AD35" s="517"/>
      <c r="AE35" s="517"/>
      <c r="AF35" s="517"/>
      <c r="AG35" s="517"/>
      <c r="AH35" s="517"/>
    </row>
    <row r="36" spans="1:34" s="518" customFormat="1" x14ac:dyDescent="0.2">
      <c r="A36" s="513" t="s">
        <v>141</v>
      </c>
      <c r="B36" s="519">
        <f t="shared" ref="B36:AC36" si="16">ROUND($B$2*B$33,2)</f>
        <v>2.8</v>
      </c>
      <c r="C36" s="519">
        <f t="shared" si="16"/>
        <v>2.8</v>
      </c>
      <c r="D36" s="519">
        <f t="shared" si="16"/>
        <v>2.8</v>
      </c>
      <c r="E36" s="519">
        <f t="shared" si="16"/>
        <v>2.8</v>
      </c>
      <c r="F36" s="519">
        <f t="shared" si="16"/>
        <v>2.8</v>
      </c>
      <c r="G36" s="519">
        <f t="shared" si="16"/>
        <v>2.8</v>
      </c>
      <c r="H36" s="519">
        <f t="shared" si="16"/>
        <v>3.2</v>
      </c>
      <c r="I36" s="519">
        <f t="shared" si="16"/>
        <v>3.2</v>
      </c>
      <c r="J36" s="519">
        <f t="shared" si="16"/>
        <v>3.2</v>
      </c>
      <c r="K36" s="519">
        <f t="shared" si="16"/>
        <v>3.6</v>
      </c>
      <c r="L36" s="519">
        <f t="shared" si="16"/>
        <v>3.6</v>
      </c>
      <c r="M36" s="519">
        <f t="shared" si="16"/>
        <v>3.6</v>
      </c>
      <c r="N36" s="519">
        <f t="shared" si="16"/>
        <v>4</v>
      </c>
      <c r="O36" s="519">
        <f t="shared" si="16"/>
        <v>4</v>
      </c>
      <c r="P36" s="519">
        <f t="shared" si="16"/>
        <v>4</v>
      </c>
      <c r="Q36" s="519">
        <f t="shared" si="16"/>
        <v>4</v>
      </c>
      <c r="R36" s="519">
        <f t="shared" si="16"/>
        <v>4</v>
      </c>
      <c r="S36" s="519">
        <f t="shared" si="16"/>
        <v>4</v>
      </c>
      <c r="T36" s="519">
        <f t="shared" si="16"/>
        <v>4</v>
      </c>
      <c r="U36" s="519">
        <f t="shared" si="16"/>
        <v>4</v>
      </c>
      <c r="V36" s="519">
        <f t="shared" si="16"/>
        <v>4</v>
      </c>
      <c r="W36" s="519">
        <f t="shared" si="16"/>
        <v>4</v>
      </c>
      <c r="X36" s="519">
        <f t="shared" si="16"/>
        <v>4</v>
      </c>
      <c r="Y36" s="519">
        <f t="shared" si="16"/>
        <v>4</v>
      </c>
      <c r="Z36" s="519">
        <f t="shared" si="16"/>
        <v>4</v>
      </c>
      <c r="AA36" s="519">
        <f t="shared" si="16"/>
        <v>4</v>
      </c>
      <c r="AB36" s="635">
        <f t="shared" si="16"/>
        <v>4</v>
      </c>
      <c r="AC36" s="519">
        <f t="shared" si="16"/>
        <v>2.8</v>
      </c>
    </row>
    <row r="37" spans="1:34" s="518" customFormat="1" x14ac:dyDescent="0.2">
      <c r="A37" s="634" t="s">
        <v>142</v>
      </c>
      <c r="B37" s="671">
        <f>B34*$B$2</f>
        <v>2.3892231233037644</v>
      </c>
      <c r="C37" s="671">
        <f t="shared" ref="C37:AC37" si="17">C34*$B$2</f>
        <v>2.3892231233037644</v>
      </c>
      <c r="D37" s="671">
        <f t="shared" si="17"/>
        <v>2.3892231233037644</v>
      </c>
      <c r="E37" s="671">
        <f t="shared" si="17"/>
        <v>2.3892231233037644</v>
      </c>
      <c r="F37" s="671">
        <f t="shared" si="17"/>
        <v>2.3892231233037644</v>
      </c>
      <c r="G37" s="671">
        <f t="shared" si="17"/>
        <v>2.3892231233037644</v>
      </c>
      <c r="H37" s="671">
        <f t="shared" si="17"/>
        <v>2.7305407123471594</v>
      </c>
      <c r="I37" s="671">
        <f t="shared" si="17"/>
        <v>2.7305407123471594</v>
      </c>
      <c r="J37" s="671">
        <f t="shared" si="17"/>
        <v>2.7305407123471594</v>
      </c>
      <c r="K37" s="671">
        <f t="shared" si="17"/>
        <v>3.071858301390554</v>
      </c>
      <c r="L37" s="671">
        <f t="shared" si="17"/>
        <v>3.071858301390554</v>
      </c>
      <c r="M37" s="671">
        <f t="shared" si="17"/>
        <v>3.071858301390554</v>
      </c>
      <c r="N37" s="671">
        <f t="shared" si="17"/>
        <v>3.4131758904339495</v>
      </c>
      <c r="O37" s="671">
        <f t="shared" si="17"/>
        <v>3.4131758904339495</v>
      </c>
      <c r="P37" s="671">
        <f t="shared" si="17"/>
        <v>3.4131758904339495</v>
      </c>
      <c r="Q37" s="671">
        <f t="shared" si="17"/>
        <v>3.4131758904339495</v>
      </c>
      <c r="R37" s="671">
        <f t="shared" si="17"/>
        <v>3.4131758904339495</v>
      </c>
      <c r="S37" s="671">
        <f t="shared" si="17"/>
        <v>3.4131758904339495</v>
      </c>
      <c r="T37" s="671">
        <f t="shared" si="17"/>
        <v>3.4131758904339495</v>
      </c>
      <c r="U37" s="671">
        <f t="shared" si="17"/>
        <v>3.4131758904339495</v>
      </c>
      <c r="V37" s="671">
        <f t="shared" si="17"/>
        <v>3.4131758904339495</v>
      </c>
      <c r="W37" s="671">
        <f t="shared" si="17"/>
        <v>3.4131758904339495</v>
      </c>
      <c r="X37" s="671">
        <f t="shared" si="17"/>
        <v>3.4131758904339495</v>
      </c>
      <c r="Y37" s="671">
        <f t="shared" si="17"/>
        <v>3.4131758904339495</v>
      </c>
      <c r="Z37" s="671">
        <f t="shared" si="17"/>
        <v>3.4131758904339495</v>
      </c>
      <c r="AA37" s="671">
        <f t="shared" si="17"/>
        <v>3.4131758904339495</v>
      </c>
      <c r="AB37" s="671">
        <f t="shared" si="17"/>
        <v>3.4131758904339495</v>
      </c>
      <c r="AC37" s="671">
        <f t="shared" si="17"/>
        <v>2.3892231233037644</v>
      </c>
    </row>
    <row r="38" spans="1:34" ht="12.75" x14ac:dyDescent="0.2">
      <c r="A38" s="520" t="s">
        <v>143</v>
      </c>
      <c r="B38" s="521"/>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19"/>
    </row>
    <row r="39" spans="1:34" x14ac:dyDescent="0.2">
      <c r="A39" s="523" t="s">
        <v>144</v>
      </c>
      <c r="B39" s="633">
        <f>B$36*$B177</f>
        <v>1.6100226416861689</v>
      </c>
      <c r="C39" s="633">
        <f t="shared" ref="C39:AC48" si="18">C$36*$B177</f>
        <v>1.6100226416861689</v>
      </c>
      <c r="D39" s="633">
        <f t="shared" si="18"/>
        <v>1.6100226416861689</v>
      </c>
      <c r="E39" s="633">
        <f t="shared" si="18"/>
        <v>1.6100226416861689</v>
      </c>
      <c r="F39" s="633">
        <f t="shared" si="18"/>
        <v>1.6100226416861689</v>
      </c>
      <c r="G39" s="633">
        <f t="shared" si="18"/>
        <v>1.6100226416861689</v>
      </c>
      <c r="H39" s="633">
        <f t="shared" si="18"/>
        <v>1.8400258762127646</v>
      </c>
      <c r="I39" s="633">
        <f t="shared" si="18"/>
        <v>1.8400258762127646</v>
      </c>
      <c r="J39" s="633">
        <f t="shared" si="18"/>
        <v>1.8400258762127646</v>
      </c>
      <c r="K39" s="633">
        <f t="shared" si="18"/>
        <v>2.0700291107393602</v>
      </c>
      <c r="L39" s="633">
        <f t="shared" si="18"/>
        <v>2.0700291107393602</v>
      </c>
      <c r="M39" s="633">
        <f t="shared" si="18"/>
        <v>2.0700291107393602</v>
      </c>
      <c r="N39" s="633">
        <f t="shared" si="18"/>
        <v>2.3000323452659557</v>
      </c>
      <c r="O39" s="633">
        <f t="shared" si="18"/>
        <v>2.3000323452659557</v>
      </c>
      <c r="P39" s="633">
        <f t="shared" si="18"/>
        <v>2.3000323452659557</v>
      </c>
      <c r="Q39" s="633">
        <f t="shared" si="18"/>
        <v>2.3000323452659557</v>
      </c>
      <c r="R39" s="633">
        <f t="shared" si="18"/>
        <v>2.3000323452659557</v>
      </c>
      <c r="S39" s="633">
        <f t="shared" si="18"/>
        <v>2.3000323452659557</v>
      </c>
      <c r="T39" s="633">
        <f t="shared" si="18"/>
        <v>2.3000323452659557</v>
      </c>
      <c r="U39" s="633">
        <f t="shared" si="18"/>
        <v>2.3000323452659557</v>
      </c>
      <c r="V39" s="633">
        <f t="shared" si="18"/>
        <v>2.3000323452659557</v>
      </c>
      <c r="W39" s="633">
        <f t="shared" si="18"/>
        <v>2.3000323452659557</v>
      </c>
      <c r="X39" s="633">
        <f t="shared" si="18"/>
        <v>2.3000323452659557</v>
      </c>
      <c r="Y39" s="633">
        <f t="shared" si="18"/>
        <v>2.3000323452659557</v>
      </c>
      <c r="Z39" s="633">
        <f t="shared" si="18"/>
        <v>2.3000323452659557</v>
      </c>
      <c r="AA39" s="633">
        <f t="shared" si="18"/>
        <v>2.3000323452659557</v>
      </c>
      <c r="AB39" s="633">
        <f t="shared" si="18"/>
        <v>2.3000323452659557</v>
      </c>
      <c r="AC39" s="633">
        <f t="shared" si="18"/>
        <v>1.6100226416861689</v>
      </c>
    </row>
    <row r="40" spans="1:34" x14ac:dyDescent="0.2">
      <c r="A40" s="523" t="s">
        <v>145</v>
      </c>
      <c r="B40" s="633">
        <f t="shared" ref="B40:Q48" si="19">B$36*$B178</f>
        <v>0</v>
      </c>
      <c r="C40" s="633">
        <f t="shared" si="19"/>
        <v>0</v>
      </c>
      <c r="D40" s="633">
        <f t="shared" si="19"/>
        <v>0</v>
      </c>
      <c r="E40" s="633">
        <f t="shared" si="19"/>
        <v>0</v>
      </c>
      <c r="F40" s="633">
        <f t="shared" si="19"/>
        <v>0</v>
      </c>
      <c r="G40" s="633">
        <f t="shared" si="19"/>
        <v>0</v>
      </c>
      <c r="H40" s="633">
        <f t="shared" si="19"/>
        <v>0</v>
      </c>
      <c r="I40" s="633">
        <f t="shared" si="19"/>
        <v>0</v>
      </c>
      <c r="J40" s="633">
        <f t="shared" si="19"/>
        <v>0</v>
      </c>
      <c r="K40" s="633">
        <f t="shared" si="19"/>
        <v>0</v>
      </c>
      <c r="L40" s="633">
        <f t="shared" si="19"/>
        <v>0</v>
      </c>
      <c r="M40" s="633">
        <f t="shared" si="19"/>
        <v>0</v>
      </c>
      <c r="N40" s="633">
        <f t="shared" si="19"/>
        <v>0</v>
      </c>
      <c r="O40" s="633">
        <f t="shared" si="19"/>
        <v>0</v>
      </c>
      <c r="P40" s="633">
        <f t="shared" si="19"/>
        <v>0</v>
      </c>
      <c r="Q40" s="633">
        <f t="shared" si="19"/>
        <v>0</v>
      </c>
      <c r="R40" s="633">
        <f t="shared" si="18"/>
        <v>0</v>
      </c>
      <c r="S40" s="633">
        <f t="shared" si="18"/>
        <v>0</v>
      </c>
      <c r="T40" s="633">
        <f t="shared" si="18"/>
        <v>0</v>
      </c>
      <c r="U40" s="633">
        <f t="shared" si="18"/>
        <v>0</v>
      </c>
      <c r="V40" s="633">
        <f t="shared" si="18"/>
        <v>0</v>
      </c>
      <c r="W40" s="633">
        <f t="shared" si="18"/>
        <v>0</v>
      </c>
      <c r="X40" s="633">
        <f t="shared" si="18"/>
        <v>0</v>
      </c>
      <c r="Y40" s="633">
        <f t="shared" si="18"/>
        <v>0</v>
      </c>
      <c r="Z40" s="633">
        <f t="shared" si="18"/>
        <v>0</v>
      </c>
      <c r="AA40" s="633">
        <f t="shared" si="18"/>
        <v>0</v>
      </c>
      <c r="AB40" s="633">
        <f t="shared" si="18"/>
        <v>0</v>
      </c>
      <c r="AC40" s="633">
        <f t="shared" si="18"/>
        <v>0</v>
      </c>
    </row>
    <row r="41" spans="1:34" x14ac:dyDescent="0.2">
      <c r="A41" s="523" t="s">
        <v>146</v>
      </c>
      <c r="B41" s="633">
        <f t="shared" si="19"/>
        <v>2.2344209246062587</v>
      </c>
      <c r="C41" s="633">
        <f t="shared" si="18"/>
        <v>2.2344209246062587</v>
      </c>
      <c r="D41" s="633">
        <f t="shared" si="18"/>
        <v>2.2344209246062587</v>
      </c>
      <c r="E41" s="633">
        <f t="shared" si="18"/>
        <v>2.2344209246062587</v>
      </c>
      <c r="F41" s="633">
        <f t="shared" si="18"/>
        <v>2.2344209246062587</v>
      </c>
      <c r="G41" s="633">
        <f t="shared" si="18"/>
        <v>2.2344209246062587</v>
      </c>
      <c r="H41" s="633">
        <f t="shared" si="18"/>
        <v>2.5536239138357248</v>
      </c>
      <c r="I41" s="633">
        <f t="shared" si="18"/>
        <v>2.5536239138357248</v>
      </c>
      <c r="J41" s="633">
        <f t="shared" si="18"/>
        <v>2.5536239138357248</v>
      </c>
      <c r="K41" s="633">
        <f t="shared" si="18"/>
        <v>2.8728269030651901</v>
      </c>
      <c r="L41" s="633">
        <f t="shared" si="18"/>
        <v>2.8728269030651901</v>
      </c>
      <c r="M41" s="633">
        <f t="shared" si="18"/>
        <v>2.8728269030651901</v>
      </c>
      <c r="N41" s="633">
        <f t="shared" si="18"/>
        <v>3.1920298922946557</v>
      </c>
      <c r="O41" s="633">
        <f t="shared" si="18"/>
        <v>3.1920298922946557</v>
      </c>
      <c r="P41" s="633">
        <f t="shared" si="18"/>
        <v>3.1920298922946557</v>
      </c>
      <c r="Q41" s="633">
        <f t="shared" si="18"/>
        <v>3.1920298922946557</v>
      </c>
      <c r="R41" s="633">
        <f t="shared" si="18"/>
        <v>3.1920298922946557</v>
      </c>
      <c r="S41" s="633">
        <f t="shared" si="18"/>
        <v>3.1920298922946557</v>
      </c>
      <c r="T41" s="633">
        <f t="shared" si="18"/>
        <v>3.1920298922946557</v>
      </c>
      <c r="U41" s="633">
        <f t="shared" si="18"/>
        <v>3.1920298922946557</v>
      </c>
      <c r="V41" s="633">
        <f t="shared" si="18"/>
        <v>3.1920298922946557</v>
      </c>
      <c r="W41" s="633">
        <f t="shared" si="18"/>
        <v>3.1920298922946557</v>
      </c>
      <c r="X41" s="633">
        <f t="shared" si="18"/>
        <v>3.1920298922946557</v>
      </c>
      <c r="Y41" s="633">
        <f t="shared" si="18"/>
        <v>3.1920298922946557</v>
      </c>
      <c r="Z41" s="633">
        <f t="shared" si="18"/>
        <v>3.1920298922946557</v>
      </c>
      <c r="AA41" s="633">
        <f t="shared" si="18"/>
        <v>3.1920298922946557</v>
      </c>
      <c r="AB41" s="633">
        <f t="shared" si="18"/>
        <v>3.1920298922946557</v>
      </c>
      <c r="AC41" s="633">
        <f t="shared" si="18"/>
        <v>2.2344209246062587</v>
      </c>
    </row>
    <row r="42" spans="1:34" x14ac:dyDescent="0.2">
      <c r="A42" s="523" t="s">
        <v>147</v>
      </c>
      <c r="B42" s="633">
        <f t="shared" si="19"/>
        <v>2.2344209246062587</v>
      </c>
      <c r="C42" s="633">
        <f t="shared" si="18"/>
        <v>2.2344209246062587</v>
      </c>
      <c r="D42" s="633">
        <f t="shared" si="18"/>
        <v>2.2344209246062587</v>
      </c>
      <c r="E42" s="633">
        <f t="shared" si="18"/>
        <v>2.2344209246062587</v>
      </c>
      <c r="F42" s="633">
        <f t="shared" si="18"/>
        <v>2.2344209246062587</v>
      </c>
      <c r="G42" s="633">
        <f t="shared" si="18"/>
        <v>2.2344209246062587</v>
      </c>
      <c r="H42" s="633">
        <f t="shared" si="18"/>
        <v>2.5536239138357248</v>
      </c>
      <c r="I42" s="633">
        <f t="shared" si="18"/>
        <v>2.5536239138357248</v>
      </c>
      <c r="J42" s="633">
        <f t="shared" si="18"/>
        <v>2.5536239138357248</v>
      </c>
      <c r="K42" s="633">
        <f t="shared" si="18"/>
        <v>2.8728269030651901</v>
      </c>
      <c r="L42" s="633">
        <f t="shared" si="18"/>
        <v>2.8728269030651901</v>
      </c>
      <c r="M42" s="633">
        <f t="shared" si="18"/>
        <v>2.8728269030651901</v>
      </c>
      <c r="N42" s="633">
        <f t="shared" si="18"/>
        <v>3.1920298922946557</v>
      </c>
      <c r="O42" s="633">
        <f t="shared" si="18"/>
        <v>3.1920298922946557</v>
      </c>
      <c r="P42" s="633">
        <f t="shared" si="18"/>
        <v>3.1920298922946557</v>
      </c>
      <c r="Q42" s="633">
        <f t="shared" si="18"/>
        <v>3.1920298922946557</v>
      </c>
      <c r="R42" s="633">
        <f t="shared" si="18"/>
        <v>3.1920298922946557</v>
      </c>
      <c r="S42" s="633">
        <f t="shared" si="18"/>
        <v>3.1920298922946557</v>
      </c>
      <c r="T42" s="633">
        <f t="shared" si="18"/>
        <v>3.1920298922946557</v>
      </c>
      <c r="U42" s="633">
        <f t="shared" si="18"/>
        <v>3.1920298922946557</v>
      </c>
      <c r="V42" s="633">
        <f t="shared" si="18"/>
        <v>3.1920298922946557</v>
      </c>
      <c r="W42" s="633">
        <f t="shared" si="18"/>
        <v>3.1920298922946557</v>
      </c>
      <c r="X42" s="633">
        <f t="shared" si="18"/>
        <v>3.1920298922946557</v>
      </c>
      <c r="Y42" s="633">
        <f t="shared" si="18"/>
        <v>3.1920298922946557</v>
      </c>
      <c r="Z42" s="633">
        <f t="shared" si="18"/>
        <v>3.1920298922946557</v>
      </c>
      <c r="AA42" s="633">
        <f t="shared" si="18"/>
        <v>3.1920298922946557</v>
      </c>
      <c r="AB42" s="633">
        <f t="shared" si="18"/>
        <v>3.1920298922946557</v>
      </c>
      <c r="AC42" s="633">
        <f t="shared" si="18"/>
        <v>2.2344209246062587</v>
      </c>
    </row>
    <row r="43" spans="1:34" x14ac:dyDescent="0.2">
      <c r="A43" s="523" t="s">
        <v>148</v>
      </c>
      <c r="B43" s="633">
        <f t="shared" si="19"/>
        <v>1.4158409842327806</v>
      </c>
      <c r="C43" s="633">
        <f t="shared" si="18"/>
        <v>1.4158409842327806</v>
      </c>
      <c r="D43" s="633">
        <f t="shared" si="18"/>
        <v>1.4158409842327806</v>
      </c>
      <c r="E43" s="633">
        <f t="shared" si="18"/>
        <v>1.4158409842327806</v>
      </c>
      <c r="F43" s="633">
        <f t="shared" si="18"/>
        <v>1.4158409842327806</v>
      </c>
      <c r="G43" s="633">
        <f t="shared" si="18"/>
        <v>1.4158409842327806</v>
      </c>
      <c r="H43" s="633">
        <f t="shared" si="18"/>
        <v>1.6181039819803207</v>
      </c>
      <c r="I43" s="633">
        <f t="shared" si="18"/>
        <v>1.6181039819803207</v>
      </c>
      <c r="J43" s="633">
        <f t="shared" si="18"/>
        <v>1.6181039819803207</v>
      </c>
      <c r="K43" s="633">
        <f t="shared" si="18"/>
        <v>1.8203669797278608</v>
      </c>
      <c r="L43" s="633">
        <f t="shared" si="18"/>
        <v>1.8203669797278608</v>
      </c>
      <c r="M43" s="633">
        <f t="shared" si="18"/>
        <v>1.8203669797278608</v>
      </c>
      <c r="N43" s="633">
        <f t="shared" si="18"/>
        <v>2.0226299774754009</v>
      </c>
      <c r="O43" s="633">
        <f t="shared" si="18"/>
        <v>2.0226299774754009</v>
      </c>
      <c r="P43" s="633">
        <f t="shared" si="18"/>
        <v>2.0226299774754009</v>
      </c>
      <c r="Q43" s="633">
        <f t="shared" si="18"/>
        <v>2.0226299774754009</v>
      </c>
      <c r="R43" s="633">
        <f t="shared" si="18"/>
        <v>2.0226299774754009</v>
      </c>
      <c r="S43" s="633">
        <f t="shared" si="18"/>
        <v>2.0226299774754009</v>
      </c>
      <c r="T43" s="633">
        <f t="shared" si="18"/>
        <v>2.0226299774754009</v>
      </c>
      <c r="U43" s="633">
        <f t="shared" si="18"/>
        <v>2.0226299774754009</v>
      </c>
      <c r="V43" s="633">
        <f t="shared" si="18"/>
        <v>2.0226299774754009</v>
      </c>
      <c r="W43" s="633">
        <f t="shared" si="18"/>
        <v>2.0226299774754009</v>
      </c>
      <c r="X43" s="633">
        <f t="shared" si="18"/>
        <v>2.0226299774754009</v>
      </c>
      <c r="Y43" s="633">
        <f t="shared" si="18"/>
        <v>2.0226299774754009</v>
      </c>
      <c r="Z43" s="633">
        <f t="shared" si="18"/>
        <v>2.0226299774754009</v>
      </c>
      <c r="AA43" s="633">
        <f t="shared" si="18"/>
        <v>2.0226299774754009</v>
      </c>
      <c r="AB43" s="633">
        <f t="shared" si="18"/>
        <v>2.0226299774754009</v>
      </c>
      <c r="AC43" s="633">
        <f t="shared" si="18"/>
        <v>1.4158409842327806</v>
      </c>
    </row>
    <row r="44" spans="1:34" x14ac:dyDescent="0.2">
      <c r="A44" s="523" t="s">
        <v>149</v>
      </c>
      <c r="B44" s="633">
        <f t="shared" si="19"/>
        <v>1.4158409842327806</v>
      </c>
      <c r="C44" s="633">
        <f t="shared" si="18"/>
        <v>1.4158409842327806</v>
      </c>
      <c r="D44" s="633">
        <f t="shared" si="18"/>
        <v>1.4158409842327806</v>
      </c>
      <c r="E44" s="633">
        <f t="shared" si="18"/>
        <v>1.4158409842327806</v>
      </c>
      <c r="F44" s="633">
        <f t="shared" si="18"/>
        <v>1.4158409842327806</v>
      </c>
      <c r="G44" s="633">
        <f t="shared" si="18"/>
        <v>1.4158409842327806</v>
      </c>
      <c r="H44" s="633">
        <f t="shared" si="18"/>
        <v>1.6181039819803207</v>
      </c>
      <c r="I44" s="633">
        <f t="shared" si="18"/>
        <v>1.6181039819803207</v>
      </c>
      <c r="J44" s="633">
        <f t="shared" si="18"/>
        <v>1.6181039819803207</v>
      </c>
      <c r="K44" s="633">
        <f t="shared" si="18"/>
        <v>1.8203669797278608</v>
      </c>
      <c r="L44" s="633">
        <f t="shared" si="18"/>
        <v>1.8203669797278608</v>
      </c>
      <c r="M44" s="633">
        <f t="shared" si="18"/>
        <v>1.8203669797278608</v>
      </c>
      <c r="N44" s="633">
        <f t="shared" si="18"/>
        <v>2.0226299774754009</v>
      </c>
      <c r="O44" s="633">
        <f t="shared" si="18"/>
        <v>2.0226299774754009</v>
      </c>
      <c r="P44" s="633">
        <f t="shared" si="18"/>
        <v>2.0226299774754009</v>
      </c>
      <c r="Q44" s="633">
        <f t="shared" si="18"/>
        <v>2.0226299774754009</v>
      </c>
      <c r="R44" s="633">
        <f t="shared" si="18"/>
        <v>2.0226299774754009</v>
      </c>
      <c r="S44" s="633">
        <f t="shared" si="18"/>
        <v>2.0226299774754009</v>
      </c>
      <c r="T44" s="633">
        <f t="shared" si="18"/>
        <v>2.0226299774754009</v>
      </c>
      <c r="U44" s="633">
        <f t="shared" si="18"/>
        <v>2.0226299774754009</v>
      </c>
      <c r="V44" s="633">
        <f t="shared" si="18"/>
        <v>2.0226299774754009</v>
      </c>
      <c r="W44" s="633">
        <f t="shared" si="18"/>
        <v>2.0226299774754009</v>
      </c>
      <c r="X44" s="633">
        <f t="shared" si="18"/>
        <v>2.0226299774754009</v>
      </c>
      <c r="Y44" s="633">
        <f t="shared" si="18"/>
        <v>2.0226299774754009</v>
      </c>
      <c r="Z44" s="633">
        <f t="shared" si="18"/>
        <v>2.0226299774754009</v>
      </c>
      <c r="AA44" s="633">
        <f t="shared" si="18"/>
        <v>2.0226299774754009</v>
      </c>
      <c r="AB44" s="633">
        <f t="shared" si="18"/>
        <v>2.0226299774754009</v>
      </c>
      <c r="AC44" s="633">
        <f t="shared" si="18"/>
        <v>1.4158409842327806</v>
      </c>
    </row>
    <row r="45" spans="1:34" x14ac:dyDescent="0.2">
      <c r="A45" s="523" t="s">
        <v>150</v>
      </c>
      <c r="B45" s="633">
        <f t="shared" si="19"/>
        <v>0</v>
      </c>
      <c r="C45" s="633">
        <f t="shared" si="18"/>
        <v>0</v>
      </c>
      <c r="D45" s="633">
        <f t="shared" si="18"/>
        <v>0</v>
      </c>
      <c r="E45" s="633">
        <f t="shared" si="18"/>
        <v>0</v>
      </c>
      <c r="F45" s="633">
        <f t="shared" si="18"/>
        <v>0</v>
      </c>
      <c r="G45" s="633">
        <f t="shared" si="18"/>
        <v>0</v>
      </c>
      <c r="H45" s="633">
        <f t="shared" si="18"/>
        <v>0</v>
      </c>
      <c r="I45" s="633">
        <f t="shared" si="18"/>
        <v>0</v>
      </c>
      <c r="J45" s="633">
        <f t="shared" si="18"/>
        <v>0</v>
      </c>
      <c r="K45" s="633">
        <f t="shared" si="18"/>
        <v>0</v>
      </c>
      <c r="L45" s="633">
        <f t="shared" si="18"/>
        <v>0</v>
      </c>
      <c r="M45" s="633">
        <f t="shared" si="18"/>
        <v>0</v>
      </c>
      <c r="N45" s="633">
        <f t="shared" si="18"/>
        <v>0</v>
      </c>
      <c r="O45" s="633">
        <f t="shared" si="18"/>
        <v>0</v>
      </c>
      <c r="P45" s="633">
        <f t="shared" si="18"/>
        <v>0</v>
      </c>
      <c r="Q45" s="633">
        <f t="shared" si="18"/>
        <v>0</v>
      </c>
      <c r="R45" s="633">
        <f t="shared" si="18"/>
        <v>0</v>
      </c>
      <c r="S45" s="633">
        <f t="shared" si="18"/>
        <v>0</v>
      </c>
      <c r="T45" s="633">
        <f t="shared" si="18"/>
        <v>0</v>
      </c>
      <c r="U45" s="633">
        <f t="shared" si="18"/>
        <v>0</v>
      </c>
      <c r="V45" s="633">
        <f t="shared" si="18"/>
        <v>0</v>
      </c>
      <c r="W45" s="633">
        <f t="shared" si="18"/>
        <v>0</v>
      </c>
      <c r="X45" s="633">
        <f t="shared" si="18"/>
        <v>0</v>
      </c>
      <c r="Y45" s="633">
        <f t="shared" si="18"/>
        <v>0</v>
      </c>
      <c r="Z45" s="633">
        <f t="shared" si="18"/>
        <v>0</v>
      </c>
      <c r="AA45" s="633">
        <f t="shared" si="18"/>
        <v>0</v>
      </c>
      <c r="AB45" s="633">
        <f t="shared" si="18"/>
        <v>0</v>
      </c>
      <c r="AC45" s="633">
        <f t="shared" si="18"/>
        <v>0</v>
      </c>
    </row>
    <row r="46" spans="1:34" x14ac:dyDescent="0.2">
      <c r="A46" s="523" t="s">
        <v>151</v>
      </c>
      <c r="B46" s="633">
        <f t="shared" si="19"/>
        <v>2.1332484453050338</v>
      </c>
      <c r="C46" s="633">
        <f t="shared" si="18"/>
        <v>2.1332484453050338</v>
      </c>
      <c r="D46" s="633">
        <f t="shared" si="18"/>
        <v>2.1332484453050338</v>
      </c>
      <c r="E46" s="633">
        <f t="shared" si="18"/>
        <v>2.1332484453050338</v>
      </c>
      <c r="F46" s="633">
        <f t="shared" si="18"/>
        <v>2.1332484453050338</v>
      </c>
      <c r="G46" s="633">
        <f t="shared" si="18"/>
        <v>2.1332484453050338</v>
      </c>
      <c r="H46" s="633">
        <f t="shared" si="18"/>
        <v>2.4379982232057529</v>
      </c>
      <c r="I46" s="633">
        <f t="shared" si="18"/>
        <v>2.4379982232057529</v>
      </c>
      <c r="J46" s="633">
        <f t="shared" si="18"/>
        <v>2.4379982232057529</v>
      </c>
      <c r="K46" s="633">
        <f t="shared" si="18"/>
        <v>2.742748001106472</v>
      </c>
      <c r="L46" s="633">
        <f t="shared" si="18"/>
        <v>2.742748001106472</v>
      </c>
      <c r="M46" s="633">
        <f t="shared" si="18"/>
        <v>2.742748001106472</v>
      </c>
      <c r="N46" s="633">
        <f t="shared" si="18"/>
        <v>3.0474977790071911</v>
      </c>
      <c r="O46" s="633">
        <f t="shared" si="18"/>
        <v>3.0474977790071911</v>
      </c>
      <c r="P46" s="633">
        <f t="shared" si="18"/>
        <v>3.0474977790071911</v>
      </c>
      <c r="Q46" s="633">
        <f t="shared" si="18"/>
        <v>3.0474977790071911</v>
      </c>
      <c r="R46" s="633">
        <f t="shared" si="18"/>
        <v>3.0474977790071911</v>
      </c>
      <c r="S46" s="633">
        <f t="shared" si="18"/>
        <v>3.0474977790071911</v>
      </c>
      <c r="T46" s="633">
        <f t="shared" si="18"/>
        <v>3.0474977790071911</v>
      </c>
      <c r="U46" s="633">
        <f t="shared" si="18"/>
        <v>3.0474977790071911</v>
      </c>
      <c r="V46" s="633">
        <f t="shared" si="18"/>
        <v>3.0474977790071911</v>
      </c>
      <c r="W46" s="633">
        <f t="shared" si="18"/>
        <v>3.0474977790071911</v>
      </c>
      <c r="X46" s="633">
        <f t="shared" si="18"/>
        <v>3.0474977790071911</v>
      </c>
      <c r="Y46" s="633">
        <f t="shared" si="18"/>
        <v>3.0474977790071911</v>
      </c>
      <c r="Z46" s="633">
        <f t="shared" si="18"/>
        <v>3.0474977790071911</v>
      </c>
      <c r="AA46" s="633">
        <f t="shared" si="18"/>
        <v>3.0474977790071911</v>
      </c>
      <c r="AB46" s="633">
        <f t="shared" si="18"/>
        <v>3.0474977790071911</v>
      </c>
      <c r="AC46" s="633">
        <f t="shared" si="18"/>
        <v>2.1332484453050338</v>
      </c>
    </row>
    <row r="47" spans="1:34" x14ac:dyDescent="0.2">
      <c r="A47" s="523" t="s">
        <v>152</v>
      </c>
      <c r="B47" s="633">
        <f>IF(B$13="Deploy",B$36,B$36*$B185)</f>
        <v>0.54610517626706367</v>
      </c>
      <c r="C47" s="633">
        <f t="shared" ref="C47:AC47" si="20">IF(C$13="Deploy",C$36,C$36*$B185)</f>
        <v>0.54610517626706367</v>
      </c>
      <c r="D47" s="633">
        <f t="shared" si="20"/>
        <v>0.54610517626706367</v>
      </c>
      <c r="E47" s="633">
        <f t="shared" si="20"/>
        <v>0.54610517626706367</v>
      </c>
      <c r="F47" s="633">
        <f t="shared" si="20"/>
        <v>0.54610517626706367</v>
      </c>
      <c r="G47" s="633">
        <f t="shared" si="20"/>
        <v>0.54610517626706367</v>
      </c>
      <c r="H47" s="633">
        <f t="shared" si="20"/>
        <v>0.6241202014480729</v>
      </c>
      <c r="I47" s="633">
        <f t="shared" si="20"/>
        <v>0.6241202014480729</v>
      </c>
      <c r="J47" s="633">
        <f t="shared" si="20"/>
        <v>0.6241202014480729</v>
      </c>
      <c r="K47" s="633">
        <f t="shared" si="20"/>
        <v>0.7021352266290819</v>
      </c>
      <c r="L47" s="633">
        <f t="shared" si="20"/>
        <v>0.7021352266290819</v>
      </c>
      <c r="M47" s="633">
        <f t="shared" si="20"/>
        <v>0.7021352266290819</v>
      </c>
      <c r="N47" s="633">
        <f t="shared" si="20"/>
        <v>0.78015025181009101</v>
      </c>
      <c r="O47" s="633">
        <f t="shared" si="20"/>
        <v>0.78015025181009101</v>
      </c>
      <c r="P47" s="633">
        <f t="shared" si="20"/>
        <v>0.78015025181009101</v>
      </c>
      <c r="Q47" s="633">
        <f t="shared" si="20"/>
        <v>0.78015025181009101</v>
      </c>
      <c r="R47" s="633">
        <f t="shared" si="20"/>
        <v>4</v>
      </c>
      <c r="S47" s="633">
        <f t="shared" si="20"/>
        <v>4</v>
      </c>
      <c r="T47" s="633">
        <f t="shared" si="20"/>
        <v>4</v>
      </c>
      <c r="U47" s="633">
        <f t="shared" si="20"/>
        <v>4</v>
      </c>
      <c r="V47" s="633">
        <f t="shared" si="20"/>
        <v>4</v>
      </c>
      <c r="W47" s="633">
        <f t="shared" si="20"/>
        <v>4</v>
      </c>
      <c r="X47" s="633">
        <f t="shared" si="20"/>
        <v>0.78015025181009101</v>
      </c>
      <c r="Y47" s="633">
        <f t="shared" si="20"/>
        <v>0.78015025181009101</v>
      </c>
      <c r="Z47" s="633">
        <f t="shared" si="20"/>
        <v>0.78015025181009101</v>
      </c>
      <c r="AA47" s="633">
        <f t="shared" si="20"/>
        <v>0.78015025181009101</v>
      </c>
      <c r="AB47" s="633">
        <f t="shared" si="20"/>
        <v>0.78015025181009101</v>
      </c>
      <c r="AC47" s="633">
        <f t="shared" si="20"/>
        <v>0.54610517626706367</v>
      </c>
    </row>
    <row r="48" spans="1:34" ht="12.75" x14ac:dyDescent="0.2">
      <c r="A48" s="422" t="s">
        <v>153</v>
      </c>
      <c r="B48" s="633">
        <f t="shared" si="19"/>
        <v>2.8</v>
      </c>
      <c r="C48" s="633">
        <f t="shared" si="18"/>
        <v>2.8</v>
      </c>
      <c r="D48" s="633">
        <f t="shared" si="18"/>
        <v>2.8</v>
      </c>
      <c r="E48" s="633">
        <f t="shared" si="18"/>
        <v>2.8</v>
      </c>
      <c r="F48" s="633">
        <f t="shared" si="18"/>
        <v>2.8</v>
      </c>
      <c r="G48" s="633">
        <f t="shared" si="18"/>
        <v>2.8</v>
      </c>
      <c r="H48" s="633">
        <f t="shared" si="18"/>
        <v>3.2</v>
      </c>
      <c r="I48" s="633">
        <f t="shared" si="18"/>
        <v>3.2</v>
      </c>
      <c r="J48" s="633">
        <f t="shared" si="18"/>
        <v>3.2</v>
      </c>
      <c r="K48" s="633">
        <f t="shared" si="18"/>
        <v>3.6</v>
      </c>
      <c r="L48" s="633">
        <f t="shared" si="18"/>
        <v>3.6</v>
      </c>
      <c r="M48" s="633">
        <f t="shared" si="18"/>
        <v>3.6</v>
      </c>
      <c r="N48" s="633">
        <f t="shared" si="18"/>
        <v>4</v>
      </c>
      <c r="O48" s="633">
        <f t="shared" si="18"/>
        <v>4</v>
      </c>
      <c r="P48" s="633">
        <f t="shared" si="18"/>
        <v>4</v>
      </c>
      <c r="Q48" s="633">
        <f t="shared" si="18"/>
        <v>4</v>
      </c>
      <c r="R48" s="633">
        <f t="shared" si="18"/>
        <v>4</v>
      </c>
      <c r="S48" s="633">
        <f t="shared" si="18"/>
        <v>4</v>
      </c>
      <c r="T48" s="633">
        <f t="shared" si="18"/>
        <v>4</v>
      </c>
      <c r="U48" s="633">
        <f t="shared" si="18"/>
        <v>4</v>
      </c>
      <c r="V48" s="633">
        <f t="shared" si="18"/>
        <v>4</v>
      </c>
      <c r="W48" s="633">
        <f t="shared" si="18"/>
        <v>4</v>
      </c>
      <c r="X48" s="633">
        <f t="shared" si="18"/>
        <v>4</v>
      </c>
      <c r="Y48" s="633">
        <f t="shared" si="18"/>
        <v>4</v>
      </c>
      <c r="Z48" s="633">
        <f t="shared" si="18"/>
        <v>4</v>
      </c>
      <c r="AA48" s="633">
        <f t="shared" si="18"/>
        <v>4</v>
      </c>
      <c r="AB48" s="633">
        <f t="shared" si="18"/>
        <v>4</v>
      </c>
      <c r="AC48" s="633">
        <f t="shared" si="18"/>
        <v>2.8</v>
      </c>
    </row>
    <row r="49" spans="1:29" ht="12.75" x14ac:dyDescent="0.2">
      <c r="A49" s="508" t="s">
        <v>154</v>
      </c>
      <c r="B49" s="47"/>
      <c r="C49" s="47"/>
      <c r="D49" s="47"/>
      <c r="E49" s="47"/>
      <c r="F49" s="47"/>
      <c r="G49" s="47"/>
      <c r="H49" s="47"/>
      <c r="I49" s="47"/>
      <c r="J49" s="48"/>
      <c r="K49" s="48"/>
      <c r="L49" s="47"/>
      <c r="M49" s="47"/>
      <c r="N49" s="49"/>
      <c r="O49" s="49"/>
      <c r="P49" s="522"/>
      <c r="Q49" s="47"/>
      <c r="R49" s="49"/>
      <c r="S49" s="49"/>
      <c r="T49" s="49"/>
      <c r="U49" s="49"/>
      <c r="V49" s="49"/>
      <c r="W49" s="49"/>
      <c r="X49" s="49"/>
      <c r="Y49" s="49"/>
      <c r="Z49" s="49"/>
      <c r="AA49" s="49"/>
      <c r="AB49" s="49"/>
      <c r="AC49" s="525"/>
    </row>
    <row r="50" spans="1:29" x14ac:dyDescent="0.2">
      <c r="A50" s="526" t="s">
        <v>155</v>
      </c>
      <c r="B50" s="524">
        <f>10*B$32</f>
        <v>7</v>
      </c>
      <c r="C50" s="524">
        <f t="shared" ref="C50:AC50" si="21">10*C$32</f>
        <v>7</v>
      </c>
      <c r="D50" s="524">
        <f t="shared" si="21"/>
        <v>7</v>
      </c>
      <c r="E50" s="524">
        <f t="shared" si="21"/>
        <v>7</v>
      </c>
      <c r="F50" s="524">
        <f t="shared" si="21"/>
        <v>7</v>
      </c>
      <c r="G50" s="524">
        <f t="shared" si="21"/>
        <v>7</v>
      </c>
      <c r="H50" s="524">
        <f t="shared" si="21"/>
        <v>8</v>
      </c>
      <c r="I50" s="524">
        <f t="shared" si="21"/>
        <v>8</v>
      </c>
      <c r="J50" s="524">
        <f t="shared" si="21"/>
        <v>8</v>
      </c>
      <c r="K50" s="524">
        <f t="shared" si="21"/>
        <v>9</v>
      </c>
      <c r="L50" s="524">
        <f t="shared" si="21"/>
        <v>9</v>
      </c>
      <c r="M50" s="524">
        <f t="shared" si="21"/>
        <v>9</v>
      </c>
      <c r="N50" s="524">
        <f t="shared" si="21"/>
        <v>10</v>
      </c>
      <c r="O50" s="524">
        <f t="shared" si="21"/>
        <v>10</v>
      </c>
      <c r="P50" s="524">
        <f t="shared" si="21"/>
        <v>10</v>
      </c>
      <c r="Q50" s="524">
        <f t="shared" si="21"/>
        <v>10</v>
      </c>
      <c r="R50" s="524">
        <f t="shared" si="21"/>
        <v>10</v>
      </c>
      <c r="S50" s="524">
        <f t="shared" si="21"/>
        <v>10</v>
      </c>
      <c r="T50" s="524">
        <f t="shared" si="21"/>
        <v>10</v>
      </c>
      <c r="U50" s="524">
        <f t="shared" si="21"/>
        <v>10</v>
      </c>
      <c r="V50" s="524">
        <f t="shared" si="21"/>
        <v>10</v>
      </c>
      <c r="W50" s="524">
        <f t="shared" si="21"/>
        <v>10</v>
      </c>
      <c r="X50" s="524">
        <f t="shared" si="21"/>
        <v>10</v>
      </c>
      <c r="Y50" s="524">
        <f t="shared" si="21"/>
        <v>10</v>
      </c>
      <c r="Z50" s="524">
        <f t="shared" si="21"/>
        <v>10</v>
      </c>
      <c r="AA50" s="524">
        <f t="shared" si="21"/>
        <v>10</v>
      </c>
      <c r="AB50" s="86">
        <f t="shared" si="21"/>
        <v>10</v>
      </c>
      <c r="AC50" s="524">
        <f t="shared" si="21"/>
        <v>7</v>
      </c>
    </row>
    <row r="51" spans="1:29" x14ac:dyDescent="0.2">
      <c r="A51" s="294" t="s">
        <v>156</v>
      </c>
      <c r="B51" s="52">
        <f>B50*B$33</f>
        <v>3.9199999999999995</v>
      </c>
      <c r="C51" s="52">
        <f t="shared" ref="C51:Q51" si="22">C50*C33</f>
        <v>3.9199999999999995</v>
      </c>
      <c r="D51" s="52">
        <f t="shared" si="22"/>
        <v>3.9199999999999995</v>
      </c>
      <c r="E51" s="52">
        <f t="shared" si="22"/>
        <v>3.9199999999999995</v>
      </c>
      <c r="F51" s="52">
        <f t="shared" si="22"/>
        <v>3.9199999999999995</v>
      </c>
      <c r="G51" s="52">
        <f t="shared" si="22"/>
        <v>3.9199999999999995</v>
      </c>
      <c r="H51" s="52">
        <f t="shared" si="22"/>
        <v>5.120000000000001</v>
      </c>
      <c r="I51" s="52">
        <f t="shared" si="22"/>
        <v>5.120000000000001</v>
      </c>
      <c r="J51" s="52">
        <f t="shared" si="22"/>
        <v>5.120000000000001</v>
      </c>
      <c r="K51" s="52">
        <f t="shared" si="22"/>
        <v>6.48</v>
      </c>
      <c r="L51" s="52">
        <f t="shared" si="22"/>
        <v>6.48</v>
      </c>
      <c r="M51" s="52">
        <f t="shared" si="22"/>
        <v>6.48</v>
      </c>
      <c r="N51" s="52">
        <f t="shared" si="22"/>
        <v>8</v>
      </c>
      <c r="O51" s="52">
        <f t="shared" si="22"/>
        <v>8</v>
      </c>
      <c r="P51" s="52">
        <f t="shared" si="22"/>
        <v>8</v>
      </c>
      <c r="Q51" s="52">
        <f t="shared" si="22"/>
        <v>8</v>
      </c>
      <c r="R51" s="52">
        <v>8</v>
      </c>
      <c r="S51" s="52">
        <v>8</v>
      </c>
      <c r="T51" s="52">
        <v>8</v>
      </c>
      <c r="U51" s="52">
        <v>8</v>
      </c>
      <c r="V51" s="52">
        <v>8</v>
      </c>
      <c r="W51" s="52">
        <v>8</v>
      </c>
      <c r="X51" s="52">
        <f t="shared" ref="X51:AC51" si="23">X50*X33</f>
        <v>8</v>
      </c>
      <c r="Y51" s="52">
        <f t="shared" si="23"/>
        <v>8</v>
      </c>
      <c r="Z51" s="52">
        <f t="shared" si="23"/>
        <v>8</v>
      </c>
      <c r="AA51" s="52">
        <f t="shared" si="23"/>
        <v>8</v>
      </c>
      <c r="AB51" s="52">
        <f t="shared" si="23"/>
        <v>8</v>
      </c>
      <c r="AC51" s="52">
        <f t="shared" si="23"/>
        <v>3.9199999999999995</v>
      </c>
    </row>
    <row r="52" spans="1:29" x14ac:dyDescent="0.2">
      <c r="A52" s="526" t="s">
        <v>157</v>
      </c>
      <c r="B52" s="524">
        <v>0</v>
      </c>
      <c r="C52" s="524">
        <v>0</v>
      </c>
      <c r="D52" s="524">
        <v>0</v>
      </c>
      <c r="E52" s="524">
        <v>0</v>
      </c>
      <c r="F52" s="524">
        <v>0</v>
      </c>
      <c r="G52" s="524">
        <v>0</v>
      </c>
      <c r="H52" s="524">
        <f t="shared" ref="H52:AB52" si="24">3*H32</f>
        <v>2.4000000000000004</v>
      </c>
      <c r="I52" s="524">
        <f t="shared" si="24"/>
        <v>2.4000000000000004</v>
      </c>
      <c r="J52" s="524">
        <f t="shared" si="24"/>
        <v>2.4000000000000004</v>
      </c>
      <c r="K52" s="524">
        <f t="shared" si="24"/>
        <v>2.7</v>
      </c>
      <c r="L52" s="524">
        <f t="shared" si="24"/>
        <v>2.7</v>
      </c>
      <c r="M52" s="524">
        <f t="shared" si="24"/>
        <v>2.7</v>
      </c>
      <c r="N52" s="524">
        <f t="shared" si="24"/>
        <v>3</v>
      </c>
      <c r="O52" s="524">
        <f t="shared" si="24"/>
        <v>3</v>
      </c>
      <c r="P52" s="524">
        <f t="shared" si="24"/>
        <v>3</v>
      </c>
      <c r="Q52" s="524">
        <f t="shared" si="24"/>
        <v>3</v>
      </c>
      <c r="R52" s="524">
        <f t="shared" si="24"/>
        <v>3</v>
      </c>
      <c r="S52" s="524">
        <f t="shared" si="24"/>
        <v>3</v>
      </c>
      <c r="T52" s="524">
        <f t="shared" si="24"/>
        <v>3</v>
      </c>
      <c r="U52" s="524">
        <f t="shared" si="24"/>
        <v>3</v>
      </c>
      <c r="V52" s="524">
        <f t="shared" si="24"/>
        <v>3</v>
      </c>
      <c r="W52" s="524">
        <f t="shared" si="24"/>
        <v>3</v>
      </c>
      <c r="X52" s="524">
        <f t="shared" si="24"/>
        <v>3</v>
      </c>
      <c r="Y52" s="524">
        <f t="shared" si="24"/>
        <v>3</v>
      </c>
      <c r="Z52" s="524">
        <f t="shared" si="24"/>
        <v>3</v>
      </c>
      <c r="AA52" s="524">
        <f t="shared" si="24"/>
        <v>3</v>
      </c>
      <c r="AB52" s="524">
        <f t="shared" si="24"/>
        <v>3</v>
      </c>
      <c r="AC52" s="524">
        <v>0</v>
      </c>
    </row>
    <row r="53" spans="1:29" x14ac:dyDescent="0.2">
      <c r="A53" s="294" t="s">
        <v>158</v>
      </c>
      <c r="B53" s="52">
        <f t="shared" ref="B53:Q53" si="25">B52*B33</f>
        <v>0</v>
      </c>
      <c r="C53" s="52">
        <f t="shared" si="25"/>
        <v>0</v>
      </c>
      <c r="D53" s="52">
        <f t="shared" si="25"/>
        <v>0</v>
      </c>
      <c r="E53" s="52">
        <f t="shared" si="25"/>
        <v>0</v>
      </c>
      <c r="F53" s="52">
        <f t="shared" si="25"/>
        <v>0</v>
      </c>
      <c r="G53" s="52">
        <f t="shared" si="25"/>
        <v>0</v>
      </c>
      <c r="H53" s="52">
        <f t="shared" si="25"/>
        <v>1.5360000000000005</v>
      </c>
      <c r="I53" s="52">
        <f t="shared" si="25"/>
        <v>1.5360000000000005</v>
      </c>
      <c r="J53" s="52">
        <f t="shared" si="25"/>
        <v>1.5360000000000005</v>
      </c>
      <c r="K53" s="52">
        <f t="shared" si="25"/>
        <v>1.9440000000000004</v>
      </c>
      <c r="L53" s="52">
        <f t="shared" si="25"/>
        <v>1.9440000000000004</v>
      </c>
      <c r="M53" s="52">
        <f t="shared" si="25"/>
        <v>1.9440000000000004</v>
      </c>
      <c r="N53" s="52">
        <f t="shared" si="25"/>
        <v>2.4000000000000004</v>
      </c>
      <c r="O53" s="52">
        <f t="shared" si="25"/>
        <v>2.4000000000000004</v>
      </c>
      <c r="P53" s="52">
        <f t="shared" si="25"/>
        <v>2.4000000000000004</v>
      </c>
      <c r="Q53" s="52">
        <f t="shared" si="25"/>
        <v>2.4000000000000004</v>
      </c>
      <c r="R53" s="52">
        <f>ROUNDDOWN(R52*R33,0)</f>
        <v>2</v>
      </c>
      <c r="S53" s="52">
        <f>ROUNDDOWN(S52*S33,0)</f>
        <v>2</v>
      </c>
      <c r="T53" s="52">
        <f>ROUNDDOWN(T52*T33,0)</f>
        <v>2</v>
      </c>
      <c r="U53" s="52">
        <f>ROUNDDOWN(U52*U33,0)</f>
        <v>2</v>
      </c>
      <c r="V53" s="52">
        <f>ROUNDDOWN(V52*V33,0)</f>
        <v>2</v>
      </c>
      <c r="W53" s="52">
        <f t="shared" ref="W53:AC53" si="26">W52*W33</f>
        <v>2.4000000000000004</v>
      </c>
      <c r="X53" s="52">
        <f t="shared" si="26"/>
        <v>2.4000000000000004</v>
      </c>
      <c r="Y53" s="52">
        <f t="shared" si="26"/>
        <v>2.4000000000000004</v>
      </c>
      <c r="Z53" s="52">
        <f t="shared" si="26"/>
        <v>2.4000000000000004</v>
      </c>
      <c r="AA53" s="52">
        <f t="shared" si="26"/>
        <v>2.4000000000000004</v>
      </c>
      <c r="AB53" s="52">
        <f t="shared" si="26"/>
        <v>2.4000000000000004</v>
      </c>
      <c r="AC53" s="52">
        <f t="shared" si="26"/>
        <v>0</v>
      </c>
    </row>
    <row r="54" spans="1:29" x14ac:dyDescent="0.2">
      <c r="A54" s="526" t="s">
        <v>159</v>
      </c>
      <c r="B54" s="524">
        <f>10*B32</f>
        <v>7</v>
      </c>
      <c r="C54" s="524">
        <f t="shared" ref="C54:AC54" si="27">10*C32</f>
        <v>7</v>
      </c>
      <c r="D54" s="524">
        <f t="shared" si="27"/>
        <v>7</v>
      </c>
      <c r="E54" s="524">
        <f t="shared" si="27"/>
        <v>7</v>
      </c>
      <c r="F54" s="524">
        <f t="shared" si="27"/>
        <v>7</v>
      </c>
      <c r="G54" s="524">
        <f t="shared" si="27"/>
        <v>7</v>
      </c>
      <c r="H54" s="524">
        <f t="shared" si="27"/>
        <v>8</v>
      </c>
      <c r="I54" s="524">
        <f t="shared" si="27"/>
        <v>8</v>
      </c>
      <c r="J54" s="524">
        <f t="shared" si="27"/>
        <v>8</v>
      </c>
      <c r="K54" s="524">
        <f t="shared" si="27"/>
        <v>9</v>
      </c>
      <c r="L54" s="524">
        <f t="shared" si="27"/>
        <v>9</v>
      </c>
      <c r="M54" s="524">
        <f t="shared" si="27"/>
        <v>9</v>
      </c>
      <c r="N54" s="524">
        <f t="shared" si="27"/>
        <v>10</v>
      </c>
      <c r="O54" s="524">
        <f t="shared" si="27"/>
        <v>10</v>
      </c>
      <c r="P54" s="524">
        <f t="shared" si="27"/>
        <v>10</v>
      </c>
      <c r="Q54" s="524">
        <f t="shared" si="27"/>
        <v>10</v>
      </c>
      <c r="R54" s="524">
        <f t="shared" si="27"/>
        <v>10</v>
      </c>
      <c r="S54" s="524">
        <f t="shared" si="27"/>
        <v>10</v>
      </c>
      <c r="T54" s="524">
        <f t="shared" si="27"/>
        <v>10</v>
      </c>
      <c r="U54" s="524">
        <f t="shared" si="27"/>
        <v>10</v>
      </c>
      <c r="V54" s="524">
        <f t="shared" si="27"/>
        <v>10</v>
      </c>
      <c r="W54" s="524">
        <f t="shared" si="27"/>
        <v>10</v>
      </c>
      <c r="X54" s="524">
        <f t="shared" si="27"/>
        <v>10</v>
      </c>
      <c r="Y54" s="524">
        <f t="shared" si="27"/>
        <v>10</v>
      </c>
      <c r="Z54" s="524">
        <f t="shared" si="27"/>
        <v>10</v>
      </c>
      <c r="AA54" s="524">
        <f t="shared" si="27"/>
        <v>10</v>
      </c>
      <c r="AB54" s="524">
        <f t="shared" si="27"/>
        <v>10</v>
      </c>
      <c r="AC54" s="524">
        <f t="shared" si="27"/>
        <v>7</v>
      </c>
    </row>
    <row r="55" spans="1:29" x14ac:dyDescent="0.2">
      <c r="A55" s="294" t="s">
        <v>160</v>
      </c>
      <c r="B55" s="52">
        <f t="shared" ref="B55:Q55" si="28">B54*B33</f>
        <v>3.9199999999999995</v>
      </c>
      <c r="C55" s="52">
        <f t="shared" si="28"/>
        <v>3.9199999999999995</v>
      </c>
      <c r="D55" s="52">
        <f t="shared" si="28"/>
        <v>3.9199999999999995</v>
      </c>
      <c r="E55" s="52">
        <f t="shared" si="28"/>
        <v>3.9199999999999995</v>
      </c>
      <c r="F55" s="52">
        <f t="shared" si="28"/>
        <v>3.9199999999999995</v>
      </c>
      <c r="G55" s="52">
        <f t="shared" si="28"/>
        <v>3.9199999999999995</v>
      </c>
      <c r="H55" s="52">
        <f t="shared" si="28"/>
        <v>5.120000000000001</v>
      </c>
      <c r="I55" s="52">
        <f t="shared" si="28"/>
        <v>5.120000000000001</v>
      </c>
      <c r="J55" s="52">
        <f t="shared" si="28"/>
        <v>5.120000000000001</v>
      </c>
      <c r="K55" s="52">
        <f t="shared" si="28"/>
        <v>6.48</v>
      </c>
      <c r="L55" s="52">
        <f t="shared" si="28"/>
        <v>6.48</v>
      </c>
      <c r="M55" s="52">
        <f t="shared" si="28"/>
        <v>6.48</v>
      </c>
      <c r="N55" s="52">
        <f t="shared" si="28"/>
        <v>8</v>
      </c>
      <c r="O55" s="52">
        <f t="shared" si="28"/>
        <v>8</v>
      </c>
      <c r="P55" s="52">
        <f t="shared" si="28"/>
        <v>8</v>
      </c>
      <c r="Q55" s="52">
        <f t="shared" si="28"/>
        <v>8</v>
      </c>
      <c r="R55" s="52">
        <v>8</v>
      </c>
      <c r="S55" s="52">
        <v>8</v>
      </c>
      <c r="T55" s="52">
        <v>8</v>
      </c>
      <c r="U55" s="52">
        <v>8</v>
      </c>
      <c r="V55" s="52">
        <v>8</v>
      </c>
      <c r="W55" s="52">
        <v>8</v>
      </c>
      <c r="X55" s="52">
        <f t="shared" ref="X55:AC55" si="29">X54*X33</f>
        <v>8</v>
      </c>
      <c r="Y55" s="52">
        <f t="shared" si="29"/>
        <v>8</v>
      </c>
      <c r="Z55" s="52">
        <f t="shared" si="29"/>
        <v>8</v>
      </c>
      <c r="AA55" s="52">
        <f t="shared" si="29"/>
        <v>8</v>
      </c>
      <c r="AB55" s="52">
        <f t="shared" si="29"/>
        <v>8</v>
      </c>
      <c r="AC55" s="312">
        <f t="shared" si="29"/>
        <v>3.9199999999999995</v>
      </c>
    </row>
    <row r="56" spans="1:29" x14ac:dyDescent="0.2">
      <c r="A56" s="526" t="s">
        <v>161</v>
      </c>
      <c r="B56" s="524">
        <f>10*B32</f>
        <v>7</v>
      </c>
      <c r="C56" s="524">
        <f t="shared" ref="C56:AC56" si="30">10*C32</f>
        <v>7</v>
      </c>
      <c r="D56" s="524">
        <f t="shared" si="30"/>
        <v>7</v>
      </c>
      <c r="E56" s="524">
        <f t="shared" si="30"/>
        <v>7</v>
      </c>
      <c r="F56" s="524">
        <f t="shared" si="30"/>
        <v>7</v>
      </c>
      <c r="G56" s="524">
        <f t="shared" si="30"/>
        <v>7</v>
      </c>
      <c r="H56" s="524">
        <f t="shared" si="30"/>
        <v>8</v>
      </c>
      <c r="I56" s="524">
        <f t="shared" si="30"/>
        <v>8</v>
      </c>
      <c r="J56" s="524">
        <f t="shared" si="30"/>
        <v>8</v>
      </c>
      <c r="K56" s="524">
        <f t="shared" si="30"/>
        <v>9</v>
      </c>
      <c r="L56" s="524">
        <f t="shared" si="30"/>
        <v>9</v>
      </c>
      <c r="M56" s="524">
        <f t="shared" si="30"/>
        <v>9</v>
      </c>
      <c r="N56" s="524">
        <f t="shared" si="30"/>
        <v>10</v>
      </c>
      <c r="O56" s="524">
        <f t="shared" si="30"/>
        <v>10</v>
      </c>
      <c r="P56" s="524">
        <f t="shared" si="30"/>
        <v>10</v>
      </c>
      <c r="Q56" s="524">
        <f t="shared" si="30"/>
        <v>10</v>
      </c>
      <c r="R56" s="524">
        <f t="shared" si="30"/>
        <v>10</v>
      </c>
      <c r="S56" s="524">
        <f t="shared" si="30"/>
        <v>10</v>
      </c>
      <c r="T56" s="524">
        <f t="shared" si="30"/>
        <v>10</v>
      </c>
      <c r="U56" s="524">
        <f t="shared" si="30"/>
        <v>10</v>
      </c>
      <c r="V56" s="524">
        <f t="shared" si="30"/>
        <v>10</v>
      </c>
      <c r="W56" s="524">
        <f t="shared" si="30"/>
        <v>10</v>
      </c>
      <c r="X56" s="524">
        <f t="shared" si="30"/>
        <v>10</v>
      </c>
      <c r="Y56" s="524">
        <f t="shared" si="30"/>
        <v>10</v>
      </c>
      <c r="Z56" s="524">
        <f t="shared" si="30"/>
        <v>10</v>
      </c>
      <c r="AA56" s="524">
        <f t="shared" si="30"/>
        <v>10</v>
      </c>
      <c r="AB56" s="524">
        <f t="shared" si="30"/>
        <v>10</v>
      </c>
      <c r="AC56" s="524">
        <f t="shared" si="30"/>
        <v>7</v>
      </c>
    </row>
    <row r="57" spans="1:29" x14ac:dyDescent="0.2">
      <c r="A57" s="294" t="s">
        <v>162</v>
      </c>
      <c r="B57" s="52">
        <f>B56*B$33</f>
        <v>3.9199999999999995</v>
      </c>
      <c r="C57" s="52">
        <f t="shared" ref="C57:AC57" si="31">C56*C$33</f>
        <v>3.9199999999999995</v>
      </c>
      <c r="D57" s="52">
        <f t="shared" si="31"/>
        <v>3.9199999999999995</v>
      </c>
      <c r="E57" s="52">
        <f t="shared" si="31"/>
        <v>3.9199999999999995</v>
      </c>
      <c r="F57" s="52">
        <f t="shared" si="31"/>
        <v>3.9199999999999995</v>
      </c>
      <c r="G57" s="52">
        <f t="shared" si="31"/>
        <v>3.9199999999999995</v>
      </c>
      <c r="H57" s="52">
        <f t="shared" si="31"/>
        <v>5.120000000000001</v>
      </c>
      <c r="I57" s="52">
        <f t="shared" si="31"/>
        <v>5.120000000000001</v>
      </c>
      <c r="J57" s="52">
        <f t="shared" si="31"/>
        <v>5.120000000000001</v>
      </c>
      <c r="K57" s="52">
        <f t="shared" si="31"/>
        <v>6.48</v>
      </c>
      <c r="L57" s="52">
        <f t="shared" si="31"/>
        <v>6.48</v>
      </c>
      <c r="M57" s="52">
        <f t="shared" si="31"/>
        <v>6.48</v>
      </c>
      <c r="N57" s="52">
        <f t="shared" si="31"/>
        <v>8</v>
      </c>
      <c r="O57" s="52">
        <f t="shared" si="31"/>
        <v>8</v>
      </c>
      <c r="P57" s="52">
        <f t="shared" si="31"/>
        <v>8</v>
      </c>
      <c r="Q57" s="52">
        <f t="shared" si="31"/>
        <v>8</v>
      </c>
      <c r="R57" s="52">
        <f t="shared" si="31"/>
        <v>8</v>
      </c>
      <c r="S57" s="52">
        <f t="shared" si="31"/>
        <v>8</v>
      </c>
      <c r="T57" s="52">
        <f t="shared" si="31"/>
        <v>8</v>
      </c>
      <c r="U57" s="52">
        <f t="shared" si="31"/>
        <v>8</v>
      </c>
      <c r="V57" s="52">
        <f t="shared" si="31"/>
        <v>8</v>
      </c>
      <c r="W57" s="52">
        <f t="shared" si="31"/>
        <v>8</v>
      </c>
      <c r="X57" s="52">
        <f t="shared" si="31"/>
        <v>8</v>
      </c>
      <c r="Y57" s="52">
        <f t="shared" si="31"/>
        <v>8</v>
      </c>
      <c r="Z57" s="52">
        <f t="shared" si="31"/>
        <v>8</v>
      </c>
      <c r="AA57" s="52">
        <f t="shared" si="31"/>
        <v>8</v>
      </c>
      <c r="AB57" s="52">
        <f t="shared" si="31"/>
        <v>8</v>
      </c>
      <c r="AC57" s="52">
        <f t="shared" si="31"/>
        <v>3.9199999999999995</v>
      </c>
    </row>
    <row r="58" spans="1:29" x14ac:dyDescent="0.2">
      <c r="A58" s="526" t="s">
        <v>163</v>
      </c>
      <c r="B58" s="524">
        <v>0</v>
      </c>
      <c r="C58" s="524">
        <v>0</v>
      </c>
      <c r="D58" s="524">
        <v>0</v>
      </c>
      <c r="E58" s="524">
        <v>0</v>
      </c>
      <c r="F58" s="524">
        <v>0</v>
      </c>
      <c r="G58" s="524">
        <v>0</v>
      </c>
      <c r="H58" s="524">
        <v>0</v>
      </c>
      <c r="I58" s="524">
        <v>0</v>
      </c>
      <c r="J58" s="524">
        <v>0</v>
      </c>
      <c r="K58" s="524">
        <v>0</v>
      </c>
      <c r="L58" s="524">
        <v>0</v>
      </c>
      <c r="M58" s="524">
        <v>0</v>
      </c>
      <c r="N58" s="524">
        <v>0</v>
      </c>
      <c r="O58" s="524">
        <v>0</v>
      </c>
      <c r="P58" s="524">
        <v>0</v>
      </c>
      <c r="Q58" s="524">
        <v>0</v>
      </c>
      <c r="R58" s="524">
        <v>0</v>
      </c>
      <c r="S58" s="524">
        <v>0</v>
      </c>
      <c r="T58" s="524">
        <v>0</v>
      </c>
      <c r="U58" s="524">
        <v>0</v>
      </c>
      <c r="V58" s="524">
        <v>0</v>
      </c>
      <c r="W58" s="524">
        <v>0</v>
      </c>
      <c r="X58" s="524">
        <v>0</v>
      </c>
      <c r="Y58" s="524">
        <v>0</v>
      </c>
      <c r="Z58" s="524">
        <v>0</v>
      </c>
      <c r="AA58" s="524">
        <v>0</v>
      </c>
      <c r="AB58" s="524">
        <v>0</v>
      </c>
      <c r="AC58" s="524">
        <v>0</v>
      </c>
    </row>
    <row r="59" spans="1:29" x14ac:dyDescent="0.2">
      <c r="A59" s="294" t="s">
        <v>164</v>
      </c>
      <c r="B59" s="52">
        <f t="shared" ref="B59:Q59" si="32">B58*B33</f>
        <v>0</v>
      </c>
      <c r="C59" s="52">
        <f t="shared" si="32"/>
        <v>0</v>
      </c>
      <c r="D59" s="52">
        <f t="shared" si="32"/>
        <v>0</v>
      </c>
      <c r="E59" s="52">
        <f t="shared" si="32"/>
        <v>0</v>
      </c>
      <c r="F59" s="52">
        <f t="shared" si="32"/>
        <v>0</v>
      </c>
      <c r="G59" s="52">
        <f t="shared" si="32"/>
        <v>0</v>
      </c>
      <c r="H59" s="52">
        <f t="shared" si="32"/>
        <v>0</v>
      </c>
      <c r="I59" s="52">
        <f t="shared" si="32"/>
        <v>0</v>
      </c>
      <c r="J59" s="52">
        <f t="shared" si="32"/>
        <v>0</v>
      </c>
      <c r="K59" s="52">
        <f t="shared" si="32"/>
        <v>0</v>
      </c>
      <c r="L59" s="52">
        <f t="shared" si="32"/>
        <v>0</v>
      </c>
      <c r="M59" s="52">
        <f t="shared" si="32"/>
        <v>0</v>
      </c>
      <c r="N59" s="52">
        <f t="shared" si="32"/>
        <v>0</v>
      </c>
      <c r="O59" s="52">
        <f t="shared" si="32"/>
        <v>0</v>
      </c>
      <c r="P59" s="52">
        <f t="shared" si="32"/>
        <v>0</v>
      </c>
      <c r="Q59" s="52">
        <f t="shared" si="32"/>
        <v>0</v>
      </c>
      <c r="R59" s="52">
        <f>ROUNDDOWN(R58*R33,0)</f>
        <v>0</v>
      </c>
      <c r="S59" s="52">
        <f>ROUNDDOWN(S58*S33,0)</f>
        <v>0</v>
      </c>
      <c r="T59" s="52">
        <f>ROUNDDOWN(T58*T33,0)</f>
        <v>0</v>
      </c>
      <c r="U59" s="52">
        <f>ROUNDDOWN(U58*U33,0)</f>
        <v>0</v>
      </c>
      <c r="V59" s="52">
        <f>ROUNDDOWN(V58*V33,0)</f>
        <v>0</v>
      </c>
      <c r="W59" s="52">
        <f t="shared" ref="W59:AC59" si="33">W58*W33</f>
        <v>0</v>
      </c>
      <c r="X59" s="52">
        <f t="shared" si="33"/>
        <v>0</v>
      </c>
      <c r="Y59" s="52">
        <f t="shared" si="33"/>
        <v>0</v>
      </c>
      <c r="Z59" s="52">
        <f t="shared" si="33"/>
        <v>0</v>
      </c>
      <c r="AA59" s="52">
        <f t="shared" si="33"/>
        <v>0</v>
      </c>
      <c r="AB59" s="52">
        <f t="shared" si="33"/>
        <v>0</v>
      </c>
      <c r="AC59" s="52">
        <f t="shared" si="33"/>
        <v>0</v>
      </c>
    </row>
    <row r="60" spans="1:29" ht="12.75" x14ac:dyDescent="0.2">
      <c r="A60" s="508" t="s">
        <v>165</v>
      </c>
      <c r="B60" s="117"/>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641"/>
    </row>
    <row r="61" spans="1:29" s="493" customFormat="1" ht="12.75" x14ac:dyDescent="0.2">
      <c r="A61" s="527" t="str">
        <f>A110</f>
        <v>Pilot Upper Limit</v>
      </c>
      <c r="B61" s="528">
        <f t="shared" ref="B61:AC61" si="34">$B110</f>
        <v>18</v>
      </c>
      <c r="C61" s="528">
        <f t="shared" si="34"/>
        <v>18</v>
      </c>
      <c r="D61" s="528">
        <f t="shared" si="34"/>
        <v>18</v>
      </c>
      <c r="E61" s="528">
        <f t="shared" si="34"/>
        <v>18</v>
      </c>
      <c r="F61" s="528">
        <f t="shared" si="34"/>
        <v>18</v>
      </c>
      <c r="G61" s="528">
        <f t="shared" si="34"/>
        <v>18</v>
      </c>
      <c r="H61" s="528">
        <f t="shared" si="34"/>
        <v>18</v>
      </c>
      <c r="I61" s="528">
        <f t="shared" si="34"/>
        <v>18</v>
      </c>
      <c r="J61" s="528">
        <f t="shared" si="34"/>
        <v>18</v>
      </c>
      <c r="K61" s="528">
        <f t="shared" si="34"/>
        <v>18</v>
      </c>
      <c r="L61" s="528">
        <f t="shared" si="34"/>
        <v>18</v>
      </c>
      <c r="M61" s="528">
        <f t="shared" si="34"/>
        <v>18</v>
      </c>
      <c r="N61" s="528">
        <f t="shared" si="34"/>
        <v>18</v>
      </c>
      <c r="O61" s="528">
        <f t="shared" si="34"/>
        <v>18</v>
      </c>
      <c r="P61" s="528">
        <f t="shared" si="34"/>
        <v>18</v>
      </c>
      <c r="Q61" s="528">
        <f t="shared" si="34"/>
        <v>18</v>
      </c>
      <c r="R61" s="528">
        <f t="shared" si="34"/>
        <v>18</v>
      </c>
      <c r="S61" s="528">
        <f t="shared" si="34"/>
        <v>18</v>
      </c>
      <c r="T61" s="528">
        <f t="shared" si="34"/>
        <v>18</v>
      </c>
      <c r="U61" s="528">
        <f t="shared" si="34"/>
        <v>18</v>
      </c>
      <c r="V61" s="528">
        <f t="shared" si="34"/>
        <v>18</v>
      </c>
      <c r="W61" s="528">
        <f t="shared" si="34"/>
        <v>18</v>
      </c>
      <c r="X61" s="528">
        <f t="shared" si="34"/>
        <v>18</v>
      </c>
      <c r="Y61" s="528">
        <f t="shared" si="34"/>
        <v>18</v>
      </c>
      <c r="Z61" s="528">
        <f t="shared" si="34"/>
        <v>18</v>
      </c>
      <c r="AA61" s="528">
        <f t="shared" si="34"/>
        <v>18</v>
      </c>
      <c r="AB61" s="528">
        <f t="shared" si="34"/>
        <v>18</v>
      </c>
      <c r="AC61" s="528">
        <f t="shared" si="34"/>
        <v>18</v>
      </c>
    </row>
    <row r="62" spans="1:29" s="493" customFormat="1" ht="12.75" x14ac:dyDescent="0.2">
      <c r="A62" s="527" t="str">
        <f t="shared" ref="A62:A92" si="35">A111</f>
        <v>Pilot Lower Limit</v>
      </c>
      <c r="B62" s="529">
        <f t="shared" ref="B62:AC62" si="36">IF($B111 = 0,"N/A",ROUNDUP(IF(B$13="Deploy",MAX((B$104/100)*$B111,$B111),(B$104/100)*$B111),0))</f>
        <v>7</v>
      </c>
      <c r="C62" s="529">
        <f t="shared" si="36"/>
        <v>7</v>
      </c>
      <c r="D62" s="529">
        <f t="shared" si="36"/>
        <v>7</v>
      </c>
      <c r="E62" s="529">
        <f t="shared" si="36"/>
        <v>7</v>
      </c>
      <c r="F62" s="529">
        <f t="shared" si="36"/>
        <v>7</v>
      </c>
      <c r="G62" s="529">
        <f t="shared" si="36"/>
        <v>7</v>
      </c>
      <c r="H62" s="529">
        <f t="shared" si="36"/>
        <v>9</v>
      </c>
      <c r="I62" s="529">
        <f t="shared" si="36"/>
        <v>10</v>
      </c>
      <c r="J62" s="529">
        <f t="shared" si="36"/>
        <v>11</v>
      </c>
      <c r="K62" s="529">
        <f t="shared" si="36"/>
        <v>12</v>
      </c>
      <c r="L62" s="529">
        <f t="shared" si="36"/>
        <v>14</v>
      </c>
      <c r="M62" s="529">
        <f t="shared" si="36"/>
        <v>16</v>
      </c>
      <c r="N62" s="529">
        <f t="shared" si="36"/>
        <v>16</v>
      </c>
      <c r="O62" s="529">
        <f t="shared" si="36"/>
        <v>16</v>
      </c>
      <c r="P62" s="529">
        <f t="shared" si="36"/>
        <v>16</v>
      </c>
      <c r="Q62" s="529">
        <f t="shared" si="36"/>
        <v>16</v>
      </c>
      <c r="R62" s="529">
        <f t="shared" si="36"/>
        <v>18</v>
      </c>
      <c r="S62" s="529">
        <f t="shared" si="36"/>
        <v>18</v>
      </c>
      <c r="T62" s="529">
        <f t="shared" si="36"/>
        <v>18</v>
      </c>
      <c r="U62" s="529">
        <f t="shared" si="36"/>
        <v>18</v>
      </c>
      <c r="V62" s="529">
        <f t="shared" si="36"/>
        <v>18</v>
      </c>
      <c r="W62" s="529">
        <f t="shared" si="36"/>
        <v>18</v>
      </c>
      <c r="X62" s="529">
        <f t="shared" si="36"/>
        <v>17</v>
      </c>
      <c r="Y62" s="529">
        <f t="shared" si="36"/>
        <v>17</v>
      </c>
      <c r="Z62" s="529">
        <f t="shared" si="36"/>
        <v>16</v>
      </c>
      <c r="AA62" s="529">
        <f t="shared" si="36"/>
        <v>16</v>
      </c>
      <c r="AB62" s="529">
        <f t="shared" si="36"/>
        <v>15</v>
      </c>
      <c r="AC62" s="529">
        <f t="shared" si="36"/>
        <v>6</v>
      </c>
    </row>
    <row r="63" spans="1:29" s="493" customFormat="1" ht="12.75" x14ac:dyDescent="0.2">
      <c r="A63" s="527" t="str">
        <f t="shared" si="35"/>
        <v>MRWMC Pilots</v>
      </c>
      <c r="B63" s="529">
        <f t="shared" ref="B63:AC63" si="37">IF($B112 = 0,"N/A",ROUNDUP(IF(B$13="Deploy",MAX((B$104/100)*$B112,$B112),(B$104/100)*$B112),0))</f>
        <v>1</v>
      </c>
      <c r="C63" s="529">
        <f t="shared" si="37"/>
        <v>1</v>
      </c>
      <c r="D63" s="529">
        <f t="shared" si="37"/>
        <v>1</v>
      </c>
      <c r="E63" s="529">
        <f t="shared" si="37"/>
        <v>1</v>
      </c>
      <c r="F63" s="529">
        <f t="shared" si="37"/>
        <v>1</v>
      </c>
      <c r="G63" s="529">
        <f t="shared" si="37"/>
        <v>1</v>
      </c>
      <c r="H63" s="529">
        <f t="shared" si="37"/>
        <v>1</v>
      </c>
      <c r="I63" s="529">
        <f t="shared" si="37"/>
        <v>1</v>
      </c>
      <c r="J63" s="529">
        <f t="shared" si="37"/>
        <v>1</v>
      </c>
      <c r="K63" s="529">
        <f t="shared" si="37"/>
        <v>1</v>
      </c>
      <c r="L63" s="529">
        <f t="shared" si="37"/>
        <v>1</v>
      </c>
      <c r="M63" s="529">
        <f t="shared" si="37"/>
        <v>1</v>
      </c>
      <c r="N63" s="529">
        <f t="shared" si="37"/>
        <v>1</v>
      </c>
      <c r="O63" s="529">
        <f t="shared" si="37"/>
        <v>1</v>
      </c>
      <c r="P63" s="529">
        <f t="shared" si="37"/>
        <v>1</v>
      </c>
      <c r="Q63" s="529">
        <f t="shared" si="37"/>
        <v>1</v>
      </c>
      <c r="R63" s="529">
        <f t="shared" si="37"/>
        <v>1</v>
      </c>
      <c r="S63" s="529">
        <f t="shared" si="37"/>
        <v>1</v>
      </c>
      <c r="T63" s="529">
        <f t="shared" si="37"/>
        <v>1</v>
      </c>
      <c r="U63" s="529">
        <f t="shared" si="37"/>
        <v>1</v>
      </c>
      <c r="V63" s="529">
        <f t="shared" si="37"/>
        <v>1</v>
      </c>
      <c r="W63" s="529">
        <f t="shared" si="37"/>
        <v>1</v>
      </c>
      <c r="X63" s="529">
        <f t="shared" si="37"/>
        <v>1</v>
      </c>
      <c r="Y63" s="529">
        <f t="shared" si="37"/>
        <v>1</v>
      </c>
      <c r="Z63" s="529">
        <f t="shared" si="37"/>
        <v>1</v>
      </c>
      <c r="AA63" s="529">
        <f t="shared" si="37"/>
        <v>1</v>
      </c>
      <c r="AB63" s="529">
        <f t="shared" si="37"/>
        <v>1</v>
      </c>
      <c r="AC63" s="529">
        <f t="shared" si="37"/>
        <v>1</v>
      </c>
    </row>
    <row r="64" spans="1:29" s="493" customFormat="1" ht="12.75" x14ac:dyDescent="0.2">
      <c r="A64" s="527" t="str">
        <f t="shared" si="35"/>
        <v>≥ Level 4 Pilots</v>
      </c>
      <c r="B64" s="529">
        <f t="shared" ref="B64:AC64" si="38">IF($B113 = 0,"N/A",ROUNDUP(IF(B$13="Deploy",MAX((B$104/100)*$B113,$B113),(B$104/100)*$B113),0))</f>
        <v>1</v>
      </c>
      <c r="C64" s="529">
        <f t="shared" si="38"/>
        <v>1</v>
      </c>
      <c r="D64" s="529">
        <f t="shared" si="38"/>
        <v>1</v>
      </c>
      <c r="E64" s="529">
        <f t="shared" si="38"/>
        <v>1</v>
      </c>
      <c r="F64" s="529">
        <f t="shared" si="38"/>
        <v>1</v>
      </c>
      <c r="G64" s="529">
        <f t="shared" si="38"/>
        <v>1</v>
      </c>
      <c r="H64" s="529">
        <f t="shared" si="38"/>
        <v>1</v>
      </c>
      <c r="I64" s="529">
        <f t="shared" si="38"/>
        <v>2</v>
      </c>
      <c r="J64" s="529">
        <f t="shared" si="38"/>
        <v>2</v>
      </c>
      <c r="K64" s="529">
        <f t="shared" si="38"/>
        <v>2</v>
      </c>
      <c r="L64" s="529">
        <f t="shared" si="38"/>
        <v>2</v>
      </c>
      <c r="M64" s="529">
        <f t="shared" si="38"/>
        <v>2</v>
      </c>
      <c r="N64" s="529">
        <f t="shared" si="38"/>
        <v>2</v>
      </c>
      <c r="O64" s="529">
        <f t="shared" si="38"/>
        <v>2</v>
      </c>
      <c r="P64" s="529">
        <f t="shared" si="38"/>
        <v>2</v>
      </c>
      <c r="Q64" s="529">
        <f t="shared" si="38"/>
        <v>2</v>
      </c>
      <c r="R64" s="529">
        <f t="shared" si="38"/>
        <v>2</v>
      </c>
      <c r="S64" s="529">
        <f t="shared" si="38"/>
        <v>2</v>
      </c>
      <c r="T64" s="529">
        <f t="shared" si="38"/>
        <v>2</v>
      </c>
      <c r="U64" s="529">
        <f t="shared" si="38"/>
        <v>2</v>
      </c>
      <c r="V64" s="529">
        <f t="shared" si="38"/>
        <v>2</v>
      </c>
      <c r="W64" s="529">
        <f t="shared" si="38"/>
        <v>2</v>
      </c>
      <c r="X64" s="529">
        <f t="shared" si="38"/>
        <v>2</v>
      </c>
      <c r="Y64" s="529">
        <f t="shared" si="38"/>
        <v>2</v>
      </c>
      <c r="Z64" s="529">
        <f t="shared" si="38"/>
        <v>2</v>
      </c>
      <c r="AA64" s="529">
        <f t="shared" si="38"/>
        <v>2</v>
      </c>
      <c r="AB64" s="529">
        <f t="shared" si="38"/>
        <v>2</v>
      </c>
      <c r="AC64" s="529">
        <f t="shared" si="38"/>
        <v>1</v>
      </c>
    </row>
    <row r="65" spans="1:29" s="493" customFormat="1" ht="12.75" x14ac:dyDescent="0.2">
      <c r="A65" s="527" t="str">
        <f t="shared" si="35"/>
        <v>≥ Level 3 Pilots</v>
      </c>
      <c r="B65" s="529">
        <f t="shared" ref="B65:AC65" si="39">IF($B114 = 0,"N/A",ROUNDUP(IF(B$13="Deploy",MAX((B$104/100)*$B114,$B114),(B$104/100)*$B114),0))</f>
        <v>2</v>
      </c>
      <c r="C65" s="529">
        <f t="shared" si="39"/>
        <v>2</v>
      </c>
      <c r="D65" s="529">
        <f t="shared" si="39"/>
        <v>2</v>
      </c>
      <c r="E65" s="529">
        <f t="shared" si="39"/>
        <v>2</v>
      </c>
      <c r="F65" s="529">
        <f t="shared" si="39"/>
        <v>2</v>
      </c>
      <c r="G65" s="529">
        <f t="shared" si="39"/>
        <v>2</v>
      </c>
      <c r="H65" s="529">
        <f t="shared" si="39"/>
        <v>2</v>
      </c>
      <c r="I65" s="529">
        <f t="shared" si="39"/>
        <v>2</v>
      </c>
      <c r="J65" s="529">
        <f t="shared" si="39"/>
        <v>2</v>
      </c>
      <c r="K65" s="529">
        <f t="shared" si="39"/>
        <v>2</v>
      </c>
      <c r="L65" s="529">
        <f t="shared" si="39"/>
        <v>3</v>
      </c>
      <c r="M65" s="529">
        <f t="shared" si="39"/>
        <v>3</v>
      </c>
      <c r="N65" s="529">
        <f t="shared" si="39"/>
        <v>3</v>
      </c>
      <c r="O65" s="529">
        <f t="shared" si="39"/>
        <v>3</v>
      </c>
      <c r="P65" s="529">
        <f t="shared" si="39"/>
        <v>3</v>
      </c>
      <c r="Q65" s="529">
        <f t="shared" si="39"/>
        <v>3</v>
      </c>
      <c r="R65" s="529">
        <f t="shared" si="39"/>
        <v>3</v>
      </c>
      <c r="S65" s="529">
        <f t="shared" si="39"/>
        <v>3</v>
      </c>
      <c r="T65" s="529">
        <f t="shared" si="39"/>
        <v>3</v>
      </c>
      <c r="U65" s="529">
        <f t="shared" si="39"/>
        <v>3</v>
      </c>
      <c r="V65" s="529">
        <f t="shared" si="39"/>
        <v>3</v>
      </c>
      <c r="W65" s="529">
        <f t="shared" si="39"/>
        <v>3</v>
      </c>
      <c r="X65" s="529">
        <f t="shared" si="39"/>
        <v>3</v>
      </c>
      <c r="Y65" s="529">
        <f t="shared" si="39"/>
        <v>3</v>
      </c>
      <c r="Z65" s="529">
        <f t="shared" si="39"/>
        <v>3</v>
      </c>
      <c r="AA65" s="529">
        <f t="shared" si="39"/>
        <v>3</v>
      </c>
      <c r="AB65" s="529">
        <f t="shared" si="39"/>
        <v>3</v>
      </c>
      <c r="AC65" s="529">
        <f t="shared" si="39"/>
        <v>1</v>
      </c>
    </row>
    <row r="66" spans="1:29" s="493" customFormat="1" ht="12.75" x14ac:dyDescent="0.2">
      <c r="A66" s="527" t="str">
        <f t="shared" si="35"/>
        <v>≥ Level 2 Pilots</v>
      </c>
      <c r="B66" s="529">
        <f t="shared" ref="B66:AC66" si="40">IF($B115 = 0,"N/A",ROUNDUP(IF(B$13="Deploy",MAX((B$104/100)*$B115,$B115),(B$104/100)*$B115),0))</f>
        <v>3</v>
      </c>
      <c r="C66" s="529">
        <f t="shared" si="40"/>
        <v>3</v>
      </c>
      <c r="D66" s="529">
        <f t="shared" si="40"/>
        <v>3</v>
      </c>
      <c r="E66" s="529">
        <f t="shared" si="40"/>
        <v>3</v>
      </c>
      <c r="F66" s="529">
        <f t="shared" si="40"/>
        <v>3</v>
      </c>
      <c r="G66" s="529">
        <f t="shared" si="40"/>
        <v>3</v>
      </c>
      <c r="H66" s="529">
        <f t="shared" si="40"/>
        <v>4</v>
      </c>
      <c r="I66" s="529">
        <f t="shared" si="40"/>
        <v>4</v>
      </c>
      <c r="J66" s="529">
        <f t="shared" si="40"/>
        <v>5</v>
      </c>
      <c r="K66" s="529">
        <f t="shared" si="40"/>
        <v>5</v>
      </c>
      <c r="L66" s="529">
        <f t="shared" si="40"/>
        <v>6</v>
      </c>
      <c r="M66" s="529">
        <f t="shared" si="40"/>
        <v>6</v>
      </c>
      <c r="N66" s="529">
        <f t="shared" si="40"/>
        <v>6</v>
      </c>
      <c r="O66" s="529">
        <f t="shared" si="40"/>
        <v>6</v>
      </c>
      <c r="P66" s="529">
        <f t="shared" si="40"/>
        <v>6</v>
      </c>
      <c r="Q66" s="529">
        <f t="shared" si="40"/>
        <v>6</v>
      </c>
      <c r="R66" s="529">
        <f t="shared" si="40"/>
        <v>7</v>
      </c>
      <c r="S66" s="529">
        <f t="shared" si="40"/>
        <v>7</v>
      </c>
      <c r="T66" s="529">
        <f t="shared" si="40"/>
        <v>7</v>
      </c>
      <c r="U66" s="529">
        <f t="shared" si="40"/>
        <v>7</v>
      </c>
      <c r="V66" s="529">
        <f t="shared" si="40"/>
        <v>7</v>
      </c>
      <c r="W66" s="529">
        <f t="shared" si="40"/>
        <v>7</v>
      </c>
      <c r="X66" s="529">
        <f t="shared" si="40"/>
        <v>7</v>
      </c>
      <c r="Y66" s="529">
        <f t="shared" si="40"/>
        <v>7</v>
      </c>
      <c r="Z66" s="529">
        <f t="shared" si="40"/>
        <v>6</v>
      </c>
      <c r="AA66" s="529">
        <f t="shared" si="40"/>
        <v>6</v>
      </c>
      <c r="AB66" s="529">
        <f t="shared" si="40"/>
        <v>6</v>
      </c>
      <c r="AC66" s="529">
        <f t="shared" si="40"/>
        <v>3</v>
      </c>
    </row>
    <row r="67" spans="1:29" s="493" customFormat="1" ht="12.75" x14ac:dyDescent="0.2">
      <c r="A67" s="527" t="str">
        <f t="shared" si="35"/>
        <v>≥ Level 1 Pilots</v>
      </c>
      <c r="B67" s="529">
        <f t="shared" ref="B67:AC67" si="41">IF($B116 = 0,"N/A",ROUNDUP(IF(B$13="Deploy",MAX((B$104/100)*$B116,$B116),(B$104/100)*$B116),0))</f>
        <v>7</v>
      </c>
      <c r="C67" s="529">
        <f t="shared" si="41"/>
        <v>7</v>
      </c>
      <c r="D67" s="529">
        <f t="shared" si="41"/>
        <v>7</v>
      </c>
      <c r="E67" s="529">
        <f t="shared" si="41"/>
        <v>7</v>
      </c>
      <c r="F67" s="529">
        <f t="shared" si="41"/>
        <v>7</v>
      </c>
      <c r="G67" s="529">
        <f t="shared" si="41"/>
        <v>7</v>
      </c>
      <c r="H67" s="529">
        <f t="shared" si="41"/>
        <v>9</v>
      </c>
      <c r="I67" s="529">
        <f t="shared" si="41"/>
        <v>10</v>
      </c>
      <c r="J67" s="529">
        <f t="shared" si="41"/>
        <v>11</v>
      </c>
      <c r="K67" s="529">
        <f t="shared" si="41"/>
        <v>12</v>
      </c>
      <c r="L67" s="529">
        <f t="shared" si="41"/>
        <v>14</v>
      </c>
      <c r="M67" s="529">
        <f t="shared" si="41"/>
        <v>16</v>
      </c>
      <c r="N67" s="529">
        <f t="shared" si="41"/>
        <v>16</v>
      </c>
      <c r="O67" s="529">
        <f t="shared" si="41"/>
        <v>16</v>
      </c>
      <c r="P67" s="529">
        <f t="shared" si="41"/>
        <v>16</v>
      </c>
      <c r="Q67" s="529">
        <f t="shared" si="41"/>
        <v>16</v>
      </c>
      <c r="R67" s="529">
        <f t="shared" si="41"/>
        <v>18</v>
      </c>
      <c r="S67" s="529">
        <f t="shared" si="41"/>
        <v>18</v>
      </c>
      <c r="T67" s="529">
        <f t="shared" si="41"/>
        <v>18</v>
      </c>
      <c r="U67" s="529">
        <f t="shared" si="41"/>
        <v>18</v>
      </c>
      <c r="V67" s="529">
        <f t="shared" si="41"/>
        <v>18</v>
      </c>
      <c r="W67" s="529">
        <f t="shared" si="41"/>
        <v>18</v>
      </c>
      <c r="X67" s="529">
        <f t="shared" si="41"/>
        <v>17</v>
      </c>
      <c r="Y67" s="529">
        <f t="shared" si="41"/>
        <v>17</v>
      </c>
      <c r="Z67" s="529">
        <f t="shared" si="41"/>
        <v>16</v>
      </c>
      <c r="AA67" s="529">
        <f t="shared" si="41"/>
        <v>16</v>
      </c>
      <c r="AB67" s="529">
        <f t="shared" si="41"/>
        <v>15</v>
      </c>
      <c r="AC67" s="529">
        <f t="shared" si="41"/>
        <v>6</v>
      </c>
    </row>
    <row r="68" spans="1:29" s="493" customFormat="1" ht="12.75" x14ac:dyDescent="0.2">
      <c r="A68" s="527" t="str">
        <f t="shared" si="35"/>
        <v>≥ PR/SOF 4 Pilots</v>
      </c>
      <c r="B68" s="529">
        <f t="shared" ref="B68:AC68" si="42">IF($B117 = "NA","NA",ROUNDUP(IF(B$13="Deploy",MAX((B$104/100)*$B117,$B117),(B$104/100)*$B117),0))</f>
        <v>1</v>
      </c>
      <c r="C68" s="529">
        <f t="shared" si="42"/>
        <v>1</v>
      </c>
      <c r="D68" s="529">
        <f t="shared" si="42"/>
        <v>1</v>
      </c>
      <c r="E68" s="529">
        <f t="shared" si="42"/>
        <v>1</v>
      </c>
      <c r="F68" s="529">
        <f t="shared" si="42"/>
        <v>1</v>
      </c>
      <c r="G68" s="529">
        <f t="shared" si="42"/>
        <v>1</v>
      </c>
      <c r="H68" s="529">
        <f t="shared" si="42"/>
        <v>1</v>
      </c>
      <c r="I68" s="529">
        <f t="shared" si="42"/>
        <v>1</v>
      </c>
      <c r="J68" s="529">
        <f t="shared" si="42"/>
        <v>1</v>
      </c>
      <c r="K68" s="529">
        <f t="shared" si="42"/>
        <v>1</v>
      </c>
      <c r="L68" s="529">
        <f t="shared" si="42"/>
        <v>1</v>
      </c>
      <c r="M68" s="529">
        <f t="shared" si="42"/>
        <v>1</v>
      </c>
      <c r="N68" s="529">
        <f t="shared" si="42"/>
        <v>1</v>
      </c>
      <c r="O68" s="529">
        <f t="shared" si="42"/>
        <v>1</v>
      </c>
      <c r="P68" s="529">
        <f t="shared" si="42"/>
        <v>1</v>
      </c>
      <c r="Q68" s="529">
        <f t="shared" si="42"/>
        <v>1</v>
      </c>
      <c r="R68" s="529">
        <f t="shared" si="42"/>
        <v>1</v>
      </c>
      <c r="S68" s="529">
        <f t="shared" si="42"/>
        <v>1</v>
      </c>
      <c r="T68" s="529">
        <f t="shared" si="42"/>
        <v>1</v>
      </c>
      <c r="U68" s="529">
        <f t="shared" si="42"/>
        <v>1</v>
      </c>
      <c r="V68" s="529">
        <f t="shared" si="42"/>
        <v>1</v>
      </c>
      <c r="W68" s="529">
        <f t="shared" si="42"/>
        <v>1</v>
      </c>
      <c r="X68" s="529">
        <f t="shared" si="42"/>
        <v>1</v>
      </c>
      <c r="Y68" s="529">
        <f t="shared" si="42"/>
        <v>1</v>
      </c>
      <c r="Z68" s="529">
        <f t="shared" si="42"/>
        <v>1</v>
      </c>
      <c r="AA68" s="529">
        <f t="shared" si="42"/>
        <v>1</v>
      </c>
      <c r="AB68" s="529">
        <f t="shared" si="42"/>
        <v>1</v>
      </c>
      <c r="AC68" s="529">
        <f t="shared" si="42"/>
        <v>1</v>
      </c>
    </row>
    <row r="69" spans="1:29" s="493" customFormat="1" ht="12.75" x14ac:dyDescent="0.2">
      <c r="A69" s="527" t="str">
        <f t="shared" si="35"/>
        <v>≥ PR/SOF 3 Pilots</v>
      </c>
      <c r="B69" s="529">
        <f t="shared" ref="B69:AC69" si="43">IF($B118 = "NA","NA",ROUNDUP(IF(B$13="Deploy",MAX((B$104/100)*$B118,$B118),(B$104/100)*$B118),0))</f>
        <v>1</v>
      </c>
      <c r="C69" s="529">
        <f t="shared" si="43"/>
        <v>1</v>
      </c>
      <c r="D69" s="529">
        <f t="shared" si="43"/>
        <v>1</v>
      </c>
      <c r="E69" s="529">
        <f t="shared" si="43"/>
        <v>1</v>
      </c>
      <c r="F69" s="529">
        <f t="shared" si="43"/>
        <v>1</v>
      </c>
      <c r="G69" s="529">
        <f t="shared" si="43"/>
        <v>1</v>
      </c>
      <c r="H69" s="529">
        <f t="shared" si="43"/>
        <v>1</v>
      </c>
      <c r="I69" s="529">
        <f t="shared" si="43"/>
        <v>2</v>
      </c>
      <c r="J69" s="529">
        <f t="shared" si="43"/>
        <v>2</v>
      </c>
      <c r="K69" s="529">
        <f t="shared" si="43"/>
        <v>2</v>
      </c>
      <c r="L69" s="529">
        <f t="shared" si="43"/>
        <v>2</v>
      </c>
      <c r="M69" s="529">
        <f t="shared" si="43"/>
        <v>2</v>
      </c>
      <c r="N69" s="529">
        <f t="shared" si="43"/>
        <v>2</v>
      </c>
      <c r="O69" s="529">
        <f t="shared" si="43"/>
        <v>2</v>
      </c>
      <c r="P69" s="529">
        <f t="shared" si="43"/>
        <v>2</v>
      </c>
      <c r="Q69" s="529">
        <f t="shared" si="43"/>
        <v>2</v>
      </c>
      <c r="R69" s="529">
        <f t="shared" si="43"/>
        <v>2</v>
      </c>
      <c r="S69" s="529">
        <f t="shared" si="43"/>
        <v>2</v>
      </c>
      <c r="T69" s="529">
        <f t="shared" si="43"/>
        <v>2</v>
      </c>
      <c r="U69" s="529">
        <f t="shared" si="43"/>
        <v>2</v>
      </c>
      <c r="V69" s="529">
        <f t="shared" si="43"/>
        <v>2</v>
      </c>
      <c r="W69" s="529">
        <f t="shared" si="43"/>
        <v>2</v>
      </c>
      <c r="X69" s="529">
        <f t="shared" si="43"/>
        <v>2</v>
      </c>
      <c r="Y69" s="529">
        <f t="shared" si="43"/>
        <v>2</v>
      </c>
      <c r="Z69" s="529">
        <f t="shared" si="43"/>
        <v>2</v>
      </c>
      <c r="AA69" s="529">
        <f t="shared" si="43"/>
        <v>2</v>
      </c>
      <c r="AB69" s="529">
        <f t="shared" si="43"/>
        <v>2</v>
      </c>
      <c r="AC69" s="529">
        <f t="shared" si="43"/>
        <v>1</v>
      </c>
    </row>
    <row r="70" spans="1:29" s="493" customFormat="1" ht="12.75" x14ac:dyDescent="0.2">
      <c r="A70" s="527" t="str">
        <f t="shared" si="35"/>
        <v>≥ PR/SOF 2 Pilots</v>
      </c>
      <c r="B70" s="529">
        <f t="shared" ref="B70:AC70" si="44">IF($B119 = "NA","NA",ROUNDUP(IF(B$13="Deploy",MAX((B$104/100)*$B119,$B119),(B$104/100)*$B119),0))</f>
        <v>1</v>
      </c>
      <c r="C70" s="529">
        <f t="shared" si="44"/>
        <v>1</v>
      </c>
      <c r="D70" s="529">
        <f t="shared" si="44"/>
        <v>1</v>
      </c>
      <c r="E70" s="529">
        <f t="shared" si="44"/>
        <v>1</v>
      </c>
      <c r="F70" s="529">
        <f t="shared" si="44"/>
        <v>1</v>
      </c>
      <c r="G70" s="529">
        <f t="shared" si="44"/>
        <v>1</v>
      </c>
      <c r="H70" s="529">
        <f t="shared" si="44"/>
        <v>1</v>
      </c>
      <c r="I70" s="529">
        <f t="shared" si="44"/>
        <v>2</v>
      </c>
      <c r="J70" s="529">
        <f t="shared" si="44"/>
        <v>2</v>
      </c>
      <c r="K70" s="529">
        <f t="shared" si="44"/>
        <v>2</v>
      </c>
      <c r="L70" s="529">
        <f t="shared" si="44"/>
        <v>2</v>
      </c>
      <c r="M70" s="529">
        <f t="shared" si="44"/>
        <v>2</v>
      </c>
      <c r="N70" s="529">
        <f t="shared" si="44"/>
        <v>2</v>
      </c>
      <c r="O70" s="529">
        <f t="shared" si="44"/>
        <v>2</v>
      </c>
      <c r="P70" s="529">
        <f t="shared" si="44"/>
        <v>2</v>
      </c>
      <c r="Q70" s="529">
        <f t="shared" si="44"/>
        <v>2</v>
      </c>
      <c r="R70" s="529">
        <f t="shared" si="44"/>
        <v>2</v>
      </c>
      <c r="S70" s="529">
        <f t="shared" si="44"/>
        <v>2</v>
      </c>
      <c r="T70" s="529">
        <f t="shared" si="44"/>
        <v>2</v>
      </c>
      <c r="U70" s="529">
        <f t="shared" si="44"/>
        <v>2</v>
      </c>
      <c r="V70" s="529">
        <f t="shared" si="44"/>
        <v>2</v>
      </c>
      <c r="W70" s="529">
        <f t="shared" si="44"/>
        <v>2</v>
      </c>
      <c r="X70" s="529">
        <f t="shared" si="44"/>
        <v>2</v>
      </c>
      <c r="Y70" s="529">
        <f t="shared" si="44"/>
        <v>2</v>
      </c>
      <c r="Z70" s="529">
        <f t="shared" si="44"/>
        <v>2</v>
      </c>
      <c r="AA70" s="529">
        <f t="shared" si="44"/>
        <v>2</v>
      </c>
      <c r="AB70" s="529">
        <f t="shared" si="44"/>
        <v>2</v>
      </c>
      <c r="AC70" s="529">
        <f t="shared" si="44"/>
        <v>1</v>
      </c>
    </row>
    <row r="71" spans="1:29" s="493" customFormat="1" ht="12.75" x14ac:dyDescent="0.2">
      <c r="A71" s="527" t="str">
        <f t="shared" si="35"/>
        <v>≥ PR/SOF 1 Pilots</v>
      </c>
      <c r="B71" s="529">
        <f t="shared" ref="B71:AC71" si="45">IF($B120 = "NA","NA",ROUNDUP(IF(B$13="Deploy",MAX((B$104/100)*$B120,$B120),(B$104/100)*$B120),0))</f>
        <v>2</v>
      </c>
      <c r="C71" s="529">
        <f t="shared" si="45"/>
        <v>2</v>
      </c>
      <c r="D71" s="529">
        <f t="shared" si="45"/>
        <v>2</v>
      </c>
      <c r="E71" s="529">
        <f t="shared" si="45"/>
        <v>2</v>
      </c>
      <c r="F71" s="529">
        <f t="shared" si="45"/>
        <v>2</v>
      </c>
      <c r="G71" s="529">
        <f t="shared" si="45"/>
        <v>2</v>
      </c>
      <c r="H71" s="529">
        <f t="shared" si="45"/>
        <v>2</v>
      </c>
      <c r="I71" s="529">
        <f t="shared" si="45"/>
        <v>3</v>
      </c>
      <c r="J71" s="529">
        <f t="shared" si="45"/>
        <v>3</v>
      </c>
      <c r="K71" s="529">
        <f t="shared" si="45"/>
        <v>3</v>
      </c>
      <c r="L71" s="529">
        <f t="shared" si="45"/>
        <v>3</v>
      </c>
      <c r="M71" s="529">
        <f t="shared" si="45"/>
        <v>4</v>
      </c>
      <c r="N71" s="529">
        <f t="shared" si="45"/>
        <v>4</v>
      </c>
      <c r="O71" s="529">
        <f t="shared" si="45"/>
        <v>4</v>
      </c>
      <c r="P71" s="529">
        <f t="shared" si="45"/>
        <v>4</v>
      </c>
      <c r="Q71" s="529">
        <f t="shared" si="45"/>
        <v>4</v>
      </c>
      <c r="R71" s="529">
        <f t="shared" si="45"/>
        <v>4</v>
      </c>
      <c r="S71" s="529">
        <f t="shared" si="45"/>
        <v>4</v>
      </c>
      <c r="T71" s="529">
        <f t="shared" si="45"/>
        <v>4</v>
      </c>
      <c r="U71" s="529">
        <f t="shared" si="45"/>
        <v>4</v>
      </c>
      <c r="V71" s="529">
        <f t="shared" si="45"/>
        <v>4</v>
      </c>
      <c r="W71" s="529">
        <f t="shared" si="45"/>
        <v>4</v>
      </c>
      <c r="X71" s="529">
        <f t="shared" si="45"/>
        <v>4</v>
      </c>
      <c r="Y71" s="529">
        <f t="shared" si="45"/>
        <v>4</v>
      </c>
      <c r="Z71" s="529">
        <f t="shared" si="45"/>
        <v>4</v>
      </c>
      <c r="AA71" s="529">
        <f t="shared" si="45"/>
        <v>4</v>
      </c>
      <c r="AB71" s="529">
        <f t="shared" si="45"/>
        <v>4</v>
      </c>
      <c r="AC71" s="529">
        <f t="shared" si="45"/>
        <v>2</v>
      </c>
    </row>
    <row r="72" spans="1:29" s="493" customFormat="1" ht="12.75" x14ac:dyDescent="0.2">
      <c r="A72" s="527" t="str">
        <f t="shared" si="35"/>
        <v>≥ MIW Level 2 Pilots</v>
      </c>
      <c r="B72" s="529" t="str">
        <f t="shared" ref="B72:AC72" si="46">IF($B121 = "NA","NA",ROUNDUP(IF(B$13="Deploy",MAX((B$104/100)*$B121,$B121),(B$104/100)*$B121),0))</f>
        <v>NA</v>
      </c>
      <c r="C72" s="529" t="str">
        <f t="shared" si="46"/>
        <v>NA</v>
      </c>
      <c r="D72" s="529" t="str">
        <f t="shared" si="46"/>
        <v>NA</v>
      </c>
      <c r="E72" s="529" t="str">
        <f t="shared" si="46"/>
        <v>NA</v>
      </c>
      <c r="F72" s="529" t="str">
        <f t="shared" si="46"/>
        <v>NA</v>
      </c>
      <c r="G72" s="529" t="str">
        <f t="shared" si="46"/>
        <v>NA</v>
      </c>
      <c r="H72" s="529" t="str">
        <f t="shared" si="46"/>
        <v>NA</v>
      </c>
      <c r="I72" s="529" t="str">
        <f t="shared" si="46"/>
        <v>NA</v>
      </c>
      <c r="J72" s="529" t="str">
        <f t="shared" si="46"/>
        <v>NA</v>
      </c>
      <c r="K72" s="529" t="str">
        <f t="shared" si="46"/>
        <v>NA</v>
      </c>
      <c r="L72" s="529" t="str">
        <f t="shared" si="46"/>
        <v>NA</v>
      </c>
      <c r="M72" s="529" t="str">
        <f t="shared" si="46"/>
        <v>NA</v>
      </c>
      <c r="N72" s="529" t="str">
        <f t="shared" si="46"/>
        <v>NA</v>
      </c>
      <c r="O72" s="529" t="str">
        <f t="shared" si="46"/>
        <v>NA</v>
      </c>
      <c r="P72" s="529" t="str">
        <f t="shared" si="46"/>
        <v>NA</v>
      </c>
      <c r="Q72" s="529" t="str">
        <f t="shared" si="46"/>
        <v>NA</v>
      </c>
      <c r="R72" s="529" t="str">
        <f t="shared" si="46"/>
        <v>NA</v>
      </c>
      <c r="S72" s="529" t="str">
        <f t="shared" si="46"/>
        <v>NA</v>
      </c>
      <c r="T72" s="529" t="str">
        <f t="shared" si="46"/>
        <v>NA</v>
      </c>
      <c r="U72" s="529" t="str">
        <f t="shared" si="46"/>
        <v>NA</v>
      </c>
      <c r="V72" s="529" t="str">
        <f t="shared" si="46"/>
        <v>NA</v>
      </c>
      <c r="W72" s="529" t="str">
        <f t="shared" si="46"/>
        <v>NA</v>
      </c>
      <c r="X72" s="529" t="str">
        <f t="shared" si="46"/>
        <v>NA</v>
      </c>
      <c r="Y72" s="529" t="str">
        <f t="shared" si="46"/>
        <v>NA</v>
      </c>
      <c r="Z72" s="529" t="str">
        <f t="shared" si="46"/>
        <v>NA</v>
      </c>
      <c r="AA72" s="529" t="str">
        <f t="shared" si="46"/>
        <v>NA</v>
      </c>
      <c r="AB72" s="529" t="str">
        <f t="shared" si="46"/>
        <v>NA</v>
      </c>
      <c r="AC72" s="529" t="str">
        <f t="shared" si="46"/>
        <v>NA</v>
      </c>
    </row>
    <row r="73" spans="1:29" s="493" customFormat="1" ht="12.75" x14ac:dyDescent="0.2">
      <c r="A73" s="527" t="str">
        <f t="shared" si="35"/>
        <v>≥ MIW Level 1 Pilots</v>
      </c>
      <c r="B73" s="529" t="str">
        <f t="shared" ref="B73:AC73" si="47">IF($B122 = "NA","NA",ROUNDUP(IF(B$13="Deploy",MAX((B$104/100)*$B122,$B122),(B$104/100)*$B122),0))</f>
        <v>NA</v>
      </c>
      <c r="C73" s="529" t="str">
        <f t="shared" si="47"/>
        <v>NA</v>
      </c>
      <c r="D73" s="529" t="str">
        <f t="shared" si="47"/>
        <v>NA</v>
      </c>
      <c r="E73" s="529" t="str">
        <f t="shared" si="47"/>
        <v>NA</v>
      </c>
      <c r="F73" s="529" t="str">
        <f t="shared" si="47"/>
        <v>NA</v>
      </c>
      <c r="G73" s="529" t="str">
        <f t="shared" si="47"/>
        <v>NA</v>
      </c>
      <c r="H73" s="529" t="str">
        <f t="shared" si="47"/>
        <v>NA</v>
      </c>
      <c r="I73" s="529" t="str">
        <f t="shared" si="47"/>
        <v>NA</v>
      </c>
      <c r="J73" s="529" t="str">
        <f t="shared" si="47"/>
        <v>NA</v>
      </c>
      <c r="K73" s="529" t="str">
        <f t="shared" si="47"/>
        <v>NA</v>
      </c>
      <c r="L73" s="529" t="str">
        <f t="shared" si="47"/>
        <v>NA</v>
      </c>
      <c r="M73" s="529" t="str">
        <f t="shared" si="47"/>
        <v>NA</v>
      </c>
      <c r="N73" s="529" t="str">
        <f t="shared" si="47"/>
        <v>NA</v>
      </c>
      <c r="O73" s="529" t="str">
        <f t="shared" si="47"/>
        <v>NA</v>
      </c>
      <c r="P73" s="529" t="str">
        <f t="shared" si="47"/>
        <v>NA</v>
      </c>
      <c r="Q73" s="529" t="str">
        <f t="shared" si="47"/>
        <v>NA</v>
      </c>
      <c r="R73" s="529" t="str">
        <f t="shared" si="47"/>
        <v>NA</v>
      </c>
      <c r="S73" s="529" t="str">
        <f t="shared" si="47"/>
        <v>NA</v>
      </c>
      <c r="T73" s="529" t="str">
        <f t="shared" si="47"/>
        <v>NA</v>
      </c>
      <c r="U73" s="529" t="str">
        <f t="shared" si="47"/>
        <v>NA</v>
      </c>
      <c r="V73" s="529" t="str">
        <f t="shared" si="47"/>
        <v>NA</v>
      </c>
      <c r="W73" s="529" t="str">
        <f t="shared" si="47"/>
        <v>NA</v>
      </c>
      <c r="X73" s="529" t="str">
        <f t="shared" si="47"/>
        <v>NA</v>
      </c>
      <c r="Y73" s="529" t="str">
        <f t="shared" si="47"/>
        <v>NA</v>
      </c>
      <c r="Z73" s="529" t="str">
        <f t="shared" si="47"/>
        <v>NA</v>
      </c>
      <c r="AA73" s="529" t="str">
        <f t="shared" si="47"/>
        <v>NA</v>
      </c>
      <c r="AB73" s="529" t="str">
        <f t="shared" si="47"/>
        <v>NA</v>
      </c>
      <c r="AC73" s="529" t="str">
        <f t="shared" si="47"/>
        <v>NA</v>
      </c>
    </row>
    <row r="74" spans="1:29" s="493" customFormat="1" ht="12.75" x14ac:dyDescent="0.2">
      <c r="A74" s="527" t="str">
        <f t="shared" si="35"/>
        <v>≥ TAC Level 4 Pilots</v>
      </c>
      <c r="B74" s="529" t="str">
        <f t="shared" ref="B74:AC74" si="48">IF($B123 = "NA","NA",ROUNDUP(IF(B$13="Deploy",MAX((B$104/100)*$B123,$B123),(B$104/100)*$B123),0))</f>
        <v>NA</v>
      </c>
      <c r="C74" s="529" t="str">
        <f t="shared" si="48"/>
        <v>NA</v>
      </c>
      <c r="D74" s="529" t="str">
        <f t="shared" si="48"/>
        <v>NA</v>
      </c>
      <c r="E74" s="529" t="str">
        <f t="shared" si="48"/>
        <v>NA</v>
      </c>
      <c r="F74" s="529" t="str">
        <f t="shared" si="48"/>
        <v>NA</v>
      </c>
      <c r="G74" s="529" t="str">
        <f t="shared" si="48"/>
        <v>NA</v>
      </c>
      <c r="H74" s="529" t="str">
        <f t="shared" si="48"/>
        <v>NA</v>
      </c>
      <c r="I74" s="529" t="str">
        <f t="shared" si="48"/>
        <v>NA</v>
      </c>
      <c r="J74" s="529" t="str">
        <f t="shared" si="48"/>
        <v>NA</v>
      </c>
      <c r="K74" s="529" t="str">
        <f t="shared" si="48"/>
        <v>NA</v>
      </c>
      <c r="L74" s="529" t="str">
        <f t="shared" si="48"/>
        <v>NA</v>
      </c>
      <c r="M74" s="529" t="str">
        <f t="shared" si="48"/>
        <v>NA</v>
      </c>
      <c r="N74" s="529" t="str">
        <f t="shared" si="48"/>
        <v>NA</v>
      </c>
      <c r="O74" s="529" t="str">
        <f t="shared" si="48"/>
        <v>NA</v>
      </c>
      <c r="P74" s="529" t="str">
        <f t="shared" si="48"/>
        <v>NA</v>
      </c>
      <c r="Q74" s="529" t="str">
        <f t="shared" si="48"/>
        <v>NA</v>
      </c>
      <c r="R74" s="529" t="str">
        <f t="shared" si="48"/>
        <v>NA</v>
      </c>
      <c r="S74" s="529" t="str">
        <f t="shared" si="48"/>
        <v>NA</v>
      </c>
      <c r="T74" s="529" t="str">
        <f t="shared" si="48"/>
        <v>NA</v>
      </c>
      <c r="U74" s="529" t="str">
        <f t="shared" si="48"/>
        <v>NA</v>
      </c>
      <c r="V74" s="529" t="str">
        <f t="shared" si="48"/>
        <v>NA</v>
      </c>
      <c r="W74" s="529" t="str">
        <f t="shared" si="48"/>
        <v>NA</v>
      </c>
      <c r="X74" s="529" t="str">
        <f t="shared" si="48"/>
        <v>NA</v>
      </c>
      <c r="Y74" s="529" t="str">
        <f t="shared" si="48"/>
        <v>NA</v>
      </c>
      <c r="Z74" s="529" t="str">
        <f t="shared" si="48"/>
        <v>NA</v>
      </c>
      <c r="AA74" s="529" t="str">
        <f t="shared" si="48"/>
        <v>NA</v>
      </c>
      <c r="AB74" s="529" t="str">
        <f t="shared" si="48"/>
        <v>NA</v>
      </c>
      <c r="AC74" s="529" t="str">
        <f t="shared" si="48"/>
        <v>NA</v>
      </c>
    </row>
    <row r="75" spans="1:29" s="493" customFormat="1" ht="12.75" x14ac:dyDescent="0.2">
      <c r="A75" s="527" t="str">
        <f t="shared" si="35"/>
        <v>≥ TAC Level 3 Pilots</v>
      </c>
      <c r="B75" s="529" t="str">
        <f t="shared" ref="B75:AC75" si="49">IF($B124 = "NA","NA",ROUNDUP(IF(B$13="Deploy",MAX((B$104/100)*$B124,$B124),(B$104/100)*$B124),0))</f>
        <v>NA</v>
      </c>
      <c r="C75" s="529" t="str">
        <f t="shared" si="49"/>
        <v>NA</v>
      </c>
      <c r="D75" s="529" t="str">
        <f t="shared" si="49"/>
        <v>NA</v>
      </c>
      <c r="E75" s="529" t="str">
        <f t="shared" si="49"/>
        <v>NA</v>
      </c>
      <c r="F75" s="529" t="str">
        <f t="shared" si="49"/>
        <v>NA</v>
      </c>
      <c r="G75" s="529" t="str">
        <f t="shared" si="49"/>
        <v>NA</v>
      </c>
      <c r="H75" s="529" t="str">
        <f t="shared" si="49"/>
        <v>NA</v>
      </c>
      <c r="I75" s="529" t="str">
        <f t="shared" si="49"/>
        <v>NA</v>
      </c>
      <c r="J75" s="529" t="str">
        <f t="shared" si="49"/>
        <v>NA</v>
      </c>
      <c r="K75" s="529" t="str">
        <f t="shared" si="49"/>
        <v>NA</v>
      </c>
      <c r="L75" s="529" t="str">
        <f t="shared" si="49"/>
        <v>NA</v>
      </c>
      <c r="M75" s="529" t="str">
        <f t="shared" si="49"/>
        <v>NA</v>
      </c>
      <c r="N75" s="529" t="str">
        <f t="shared" si="49"/>
        <v>NA</v>
      </c>
      <c r="O75" s="529" t="str">
        <f t="shared" si="49"/>
        <v>NA</v>
      </c>
      <c r="P75" s="529" t="str">
        <f t="shared" si="49"/>
        <v>NA</v>
      </c>
      <c r="Q75" s="529" t="str">
        <f t="shared" si="49"/>
        <v>NA</v>
      </c>
      <c r="R75" s="529" t="str">
        <f t="shared" si="49"/>
        <v>NA</v>
      </c>
      <c r="S75" s="529" t="str">
        <f t="shared" si="49"/>
        <v>NA</v>
      </c>
      <c r="T75" s="529" t="str">
        <f t="shared" si="49"/>
        <v>NA</v>
      </c>
      <c r="U75" s="529" t="str">
        <f t="shared" si="49"/>
        <v>NA</v>
      </c>
      <c r="V75" s="529" t="str">
        <f t="shared" si="49"/>
        <v>NA</v>
      </c>
      <c r="W75" s="529" t="str">
        <f t="shared" si="49"/>
        <v>NA</v>
      </c>
      <c r="X75" s="529" t="str">
        <f t="shared" si="49"/>
        <v>NA</v>
      </c>
      <c r="Y75" s="529" t="str">
        <f t="shared" si="49"/>
        <v>NA</v>
      </c>
      <c r="Z75" s="529" t="str">
        <f t="shared" si="49"/>
        <v>NA</v>
      </c>
      <c r="AA75" s="529" t="str">
        <f t="shared" si="49"/>
        <v>NA</v>
      </c>
      <c r="AB75" s="529" t="str">
        <f t="shared" si="49"/>
        <v>NA</v>
      </c>
      <c r="AC75" s="529" t="str">
        <f t="shared" si="49"/>
        <v>NA</v>
      </c>
    </row>
    <row r="76" spans="1:29" s="493" customFormat="1" ht="12.75" x14ac:dyDescent="0.2">
      <c r="A76" s="527" t="str">
        <f t="shared" si="35"/>
        <v>≥ TAC Level 2 Pilots</v>
      </c>
      <c r="B76" s="529" t="str">
        <f t="shared" ref="B76:AC76" si="50">IF($B125 = "NA","NA",ROUNDUP(IF(B$13="Deploy",MAX((B$104/100)*$B125,$B125),(B$104/100)*$B125),0))</f>
        <v>NA</v>
      </c>
      <c r="C76" s="529" t="str">
        <f t="shared" si="50"/>
        <v>NA</v>
      </c>
      <c r="D76" s="529" t="str">
        <f t="shared" si="50"/>
        <v>NA</v>
      </c>
      <c r="E76" s="529" t="str">
        <f t="shared" si="50"/>
        <v>NA</v>
      </c>
      <c r="F76" s="529" t="str">
        <f t="shared" si="50"/>
        <v>NA</v>
      </c>
      <c r="G76" s="529" t="str">
        <f t="shared" si="50"/>
        <v>NA</v>
      </c>
      <c r="H76" s="529" t="str">
        <f t="shared" si="50"/>
        <v>NA</v>
      </c>
      <c r="I76" s="529" t="str">
        <f t="shared" si="50"/>
        <v>NA</v>
      </c>
      <c r="J76" s="529" t="str">
        <f t="shared" si="50"/>
        <v>NA</v>
      </c>
      <c r="K76" s="529" t="str">
        <f t="shared" si="50"/>
        <v>NA</v>
      </c>
      <c r="L76" s="529" t="str">
        <f t="shared" si="50"/>
        <v>NA</v>
      </c>
      <c r="M76" s="529" t="str">
        <f t="shared" si="50"/>
        <v>NA</v>
      </c>
      <c r="N76" s="529" t="str">
        <f t="shared" si="50"/>
        <v>NA</v>
      </c>
      <c r="O76" s="529" t="str">
        <f t="shared" si="50"/>
        <v>NA</v>
      </c>
      <c r="P76" s="529" t="str">
        <f t="shared" si="50"/>
        <v>NA</v>
      </c>
      <c r="Q76" s="529" t="str">
        <f t="shared" si="50"/>
        <v>NA</v>
      </c>
      <c r="R76" s="529" t="str">
        <f t="shared" si="50"/>
        <v>NA</v>
      </c>
      <c r="S76" s="529" t="str">
        <f t="shared" si="50"/>
        <v>NA</v>
      </c>
      <c r="T76" s="529" t="str">
        <f t="shared" si="50"/>
        <v>NA</v>
      </c>
      <c r="U76" s="529" t="str">
        <f t="shared" si="50"/>
        <v>NA</v>
      </c>
      <c r="V76" s="529" t="str">
        <f t="shared" si="50"/>
        <v>NA</v>
      </c>
      <c r="W76" s="529" t="str">
        <f t="shared" si="50"/>
        <v>NA</v>
      </c>
      <c r="X76" s="529" t="str">
        <f t="shared" si="50"/>
        <v>NA</v>
      </c>
      <c r="Y76" s="529" t="str">
        <f t="shared" si="50"/>
        <v>NA</v>
      </c>
      <c r="Z76" s="529" t="str">
        <f t="shared" si="50"/>
        <v>NA</v>
      </c>
      <c r="AA76" s="529" t="str">
        <f t="shared" si="50"/>
        <v>NA</v>
      </c>
      <c r="AB76" s="529" t="str">
        <f t="shared" si="50"/>
        <v>NA</v>
      </c>
      <c r="AC76" s="529" t="str">
        <f t="shared" si="50"/>
        <v>NA</v>
      </c>
    </row>
    <row r="77" spans="1:29" ht="12.75" x14ac:dyDescent="0.2">
      <c r="A77" s="527" t="str">
        <f t="shared" si="35"/>
        <v>Mountain Flying School Pilots</v>
      </c>
      <c r="B77" s="529">
        <f t="shared" ref="B77:AC77" si="51">IF($B126 = "NA","NA",ROUNDUP(IF(B$13="Deploy",MAX((B$104/100)*$B126,$B126),(B$104/100)*$B126),0))</f>
        <v>1</v>
      </c>
      <c r="C77" s="529">
        <f t="shared" si="51"/>
        <v>1</v>
      </c>
      <c r="D77" s="529">
        <f t="shared" si="51"/>
        <v>1</v>
      </c>
      <c r="E77" s="529">
        <f t="shared" si="51"/>
        <v>1</v>
      </c>
      <c r="F77" s="529">
        <f t="shared" si="51"/>
        <v>1</v>
      </c>
      <c r="G77" s="529">
        <f t="shared" si="51"/>
        <v>1</v>
      </c>
      <c r="H77" s="529">
        <f t="shared" si="51"/>
        <v>1</v>
      </c>
      <c r="I77" s="529">
        <f t="shared" si="51"/>
        <v>2</v>
      </c>
      <c r="J77" s="529">
        <f t="shared" si="51"/>
        <v>2</v>
      </c>
      <c r="K77" s="529">
        <f t="shared" si="51"/>
        <v>2</v>
      </c>
      <c r="L77" s="529">
        <f t="shared" si="51"/>
        <v>2</v>
      </c>
      <c r="M77" s="529">
        <f t="shared" si="51"/>
        <v>2</v>
      </c>
      <c r="N77" s="529">
        <f t="shared" si="51"/>
        <v>2</v>
      </c>
      <c r="O77" s="529">
        <f t="shared" si="51"/>
        <v>2</v>
      </c>
      <c r="P77" s="529">
        <f t="shared" si="51"/>
        <v>2</v>
      </c>
      <c r="Q77" s="529">
        <f t="shared" si="51"/>
        <v>2</v>
      </c>
      <c r="R77" s="529">
        <f t="shared" si="51"/>
        <v>2</v>
      </c>
      <c r="S77" s="529">
        <f t="shared" si="51"/>
        <v>2</v>
      </c>
      <c r="T77" s="529">
        <f t="shared" si="51"/>
        <v>2</v>
      </c>
      <c r="U77" s="529">
        <f t="shared" si="51"/>
        <v>2</v>
      </c>
      <c r="V77" s="529">
        <f t="shared" si="51"/>
        <v>2</v>
      </c>
      <c r="W77" s="529">
        <f t="shared" si="51"/>
        <v>2</v>
      </c>
      <c r="X77" s="529">
        <f t="shared" si="51"/>
        <v>2</v>
      </c>
      <c r="Y77" s="529">
        <f t="shared" si="51"/>
        <v>2</v>
      </c>
      <c r="Z77" s="529">
        <f t="shared" si="51"/>
        <v>2</v>
      </c>
      <c r="AA77" s="529">
        <f t="shared" si="51"/>
        <v>2</v>
      </c>
      <c r="AB77" s="529">
        <f t="shared" si="51"/>
        <v>2</v>
      </c>
      <c r="AC77" s="529">
        <f t="shared" si="51"/>
        <v>1</v>
      </c>
    </row>
    <row r="78" spans="1:29" ht="12.75" x14ac:dyDescent="0.2">
      <c r="A78" s="527" t="str">
        <f t="shared" si="35"/>
        <v>Aircrew Upper Limit</v>
      </c>
      <c r="B78" s="529">
        <f t="shared" ref="B78:AC78" si="52">$B$127</f>
        <v>18</v>
      </c>
      <c r="C78" s="529">
        <f t="shared" si="52"/>
        <v>18</v>
      </c>
      <c r="D78" s="529">
        <f t="shared" si="52"/>
        <v>18</v>
      </c>
      <c r="E78" s="529">
        <f t="shared" si="52"/>
        <v>18</v>
      </c>
      <c r="F78" s="529">
        <f t="shared" si="52"/>
        <v>18</v>
      </c>
      <c r="G78" s="529">
        <f t="shared" si="52"/>
        <v>18</v>
      </c>
      <c r="H78" s="529">
        <f t="shared" si="52"/>
        <v>18</v>
      </c>
      <c r="I78" s="529">
        <f t="shared" si="52"/>
        <v>18</v>
      </c>
      <c r="J78" s="529">
        <f t="shared" si="52"/>
        <v>18</v>
      </c>
      <c r="K78" s="529">
        <f t="shared" si="52"/>
        <v>18</v>
      </c>
      <c r="L78" s="529">
        <f t="shared" si="52"/>
        <v>18</v>
      </c>
      <c r="M78" s="529">
        <f t="shared" si="52"/>
        <v>18</v>
      </c>
      <c r="N78" s="529">
        <f t="shared" si="52"/>
        <v>18</v>
      </c>
      <c r="O78" s="529">
        <f t="shared" si="52"/>
        <v>18</v>
      </c>
      <c r="P78" s="529">
        <f t="shared" si="52"/>
        <v>18</v>
      </c>
      <c r="Q78" s="529">
        <f t="shared" si="52"/>
        <v>18</v>
      </c>
      <c r="R78" s="529">
        <f t="shared" si="52"/>
        <v>18</v>
      </c>
      <c r="S78" s="529">
        <f t="shared" si="52"/>
        <v>18</v>
      </c>
      <c r="T78" s="529">
        <f t="shared" si="52"/>
        <v>18</v>
      </c>
      <c r="U78" s="529">
        <f t="shared" si="52"/>
        <v>18</v>
      </c>
      <c r="V78" s="529">
        <f t="shared" si="52"/>
        <v>18</v>
      </c>
      <c r="W78" s="529">
        <f t="shared" si="52"/>
        <v>18</v>
      </c>
      <c r="X78" s="529">
        <f t="shared" si="52"/>
        <v>18</v>
      </c>
      <c r="Y78" s="529">
        <f t="shared" si="52"/>
        <v>18</v>
      </c>
      <c r="Z78" s="529">
        <f t="shared" si="52"/>
        <v>18</v>
      </c>
      <c r="AA78" s="529">
        <f t="shared" si="52"/>
        <v>18</v>
      </c>
      <c r="AB78" s="529">
        <f t="shared" si="52"/>
        <v>18</v>
      </c>
      <c r="AC78" s="530">
        <f t="shared" si="52"/>
        <v>18</v>
      </c>
    </row>
    <row r="79" spans="1:29" ht="12.75" x14ac:dyDescent="0.2">
      <c r="A79" s="527" t="str">
        <f t="shared" si="35"/>
        <v>Aircrew Lower Limit</v>
      </c>
      <c r="B79" s="529">
        <f t="shared" ref="B79:AC79" si="53">IF($B128 = "NA","NA",ROUNDUP(IF(B$13="Deploy",MAX((B$104/100)*$B128,$B128),(B$104/100)*$B128),0))</f>
        <v>7</v>
      </c>
      <c r="C79" s="529">
        <f t="shared" si="53"/>
        <v>7</v>
      </c>
      <c r="D79" s="529">
        <f t="shared" si="53"/>
        <v>7</v>
      </c>
      <c r="E79" s="529">
        <f t="shared" si="53"/>
        <v>7</v>
      </c>
      <c r="F79" s="529">
        <f t="shared" si="53"/>
        <v>7</v>
      </c>
      <c r="G79" s="529">
        <f t="shared" si="53"/>
        <v>7</v>
      </c>
      <c r="H79" s="529">
        <f t="shared" si="53"/>
        <v>9</v>
      </c>
      <c r="I79" s="529">
        <f t="shared" si="53"/>
        <v>10</v>
      </c>
      <c r="J79" s="529">
        <f t="shared" si="53"/>
        <v>11</v>
      </c>
      <c r="K79" s="529">
        <f t="shared" si="53"/>
        <v>12</v>
      </c>
      <c r="L79" s="529">
        <f t="shared" si="53"/>
        <v>14</v>
      </c>
      <c r="M79" s="529">
        <f t="shared" si="53"/>
        <v>16</v>
      </c>
      <c r="N79" s="529">
        <f t="shared" si="53"/>
        <v>16</v>
      </c>
      <c r="O79" s="529">
        <f t="shared" si="53"/>
        <v>16</v>
      </c>
      <c r="P79" s="529">
        <f t="shared" si="53"/>
        <v>16</v>
      </c>
      <c r="Q79" s="529">
        <f t="shared" si="53"/>
        <v>16</v>
      </c>
      <c r="R79" s="529">
        <f t="shared" si="53"/>
        <v>18</v>
      </c>
      <c r="S79" s="529">
        <f t="shared" si="53"/>
        <v>18</v>
      </c>
      <c r="T79" s="529">
        <f t="shared" si="53"/>
        <v>18</v>
      </c>
      <c r="U79" s="529">
        <f t="shared" si="53"/>
        <v>18</v>
      </c>
      <c r="V79" s="529">
        <f t="shared" si="53"/>
        <v>18</v>
      </c>
      <c r="W79" s="529">
        <f t="shared" si="53"/>
        <v>18</v>
      </c>
      <c r="X79" s="529">
        <f t="shared" si="53"/>
        <v>17</v>
      </c>
      <c r="Y79" s="529">
        <f t="shared" si="53"/>
        <v>17</v>
      </c>
      <c r="Z79" s="529">
        <f t="shared" si="53"/>
        <v>16</v>
      </c>
      <c r="AA79" s="529">
        <f t="shared" si="53"/>
        <v>16</v>
      </c>
      <c r="AB79" s="529">
        <f t="shared" si="53"/>
        <v>15</v>
      </c>
      <c r="AC79" s="529">
        <f t="shared" si="53"/>
        <v>6</v>
      </c>
    </row>
    <row r="80" spans="1:29" ht="12.75" x14ac:dyDescent="0.2">
      <c r="A80" s="527" t="str">
        <f t="shared" si="35"/>
        <v>≥ Level 3 Aircrewmen</v>
      </c>
      <c r="B80" s="529">
        <f t="shared" ref="B80:AC80" si="54">IF($B129 = "NA","NA",ROUNDUP(IF(B$13="Deploy",MAX((B$104/100)*$B129,$B129),(B$104/100)*$B129),0))</f>
        <v>2</v>
      </c>
      <c r="C80" s="529">
        <f t="shared" si="54"/>
        <v>2</v>
      </c>
      <c r="D80" s="529">
        <f t="shared" si="54"/>
        <v>2</v>
      </c>
      <c r="E80" s="529">
        <f t="shared" si="54"/>
        <v>2</v>
      </c>
      <c r="F80" s="529">
        <f t="shared" si="54"/>
        <v>2</v>
      </c>
      <c r="G80" s="529">
        <f t="shared" si="54"/>
        <v>2</v>
      </c>
      <c r="H80" s="529">
        <f t="shared" si="54"/>
        <v>2</v>
      </c>
      <c r="I80" s="529">
        <f t="shared" si="54"/>
        <v>2</v>
      </c>
      <c r="J80" s="529">
        <f t="shared" si="54"/>
        <v>2</v>
      </c>
      <c r="K80" s="529">
        <f t="shared" si="54"/>
        <v>2</v>
      </c>
      <c r="L80" s="529">
        <f t="shared" si="54"/>
        <v>3</v>
      </c>
      <c r="M80" s="529">
        <f t="shared" si="54"/>
        <v>3</v>
      </c>
      <c r="N80" s="529">
        <f t="shared" si="54"/>
        <v>3</v>
      </c>
      <c r="O80" s="529">
        <f t="shared" si="54"/>
        <v>3</v>
      </c>
      <c r="P80" s="529">
        <f t="shared" si="54"/>
        <v>3</v>
      </c>
      <c r="Q80" s="529">
        <f t="shared" si="54"/>
        <v>3</v>
      </c>
      <c r="R80" s="529">
        <f t="shared" si="54"/>
        <v>3</v>
      </c>
      <c r="S80" s="529">
        <f t="shared" si="54"/>
        <v>3</v>
      </c>
      <c r="T80" s="529">
        <f t="shared" si="54"/>
        <v>3</v>
      </c>
      <c r="U80" s="529">
        <f t="shared" si="54"/>
        <v>3</v>
      </c>
      <c r="V80" s="529">
        <f t="shared" si="54"/>
        <v>3</v>
      </c>
      <c r="W80" s="529">
        <f t="shared" si="54"/>
        <v>3</v>
      </c>
      <c r="X80" s="529">
        <f t="shared" si="54"/>
        <v>3</v>
      </c>
      <c r="Y80" s="529">
        <f t="shared" si="54"/>
        <v>3</v>
      </c>
      <c r="Z80" s="529">
        <f t="shared" si="54"/>
        <v>3</v>
      </c>
      <c r="AA80" s="529">
        <f t="shared" si="54"/>
        <v>3</v>
      </c>
      <c r="AB80" s="529">
        <f t="shared" si="54"/>
        <v>3</v>
      </c>
      <c r="AC80" s="529">
        <f t="shared" si="54"/>
        <v>1</v>
      </c>
    </row>
    <row r="81" spans="1:29" ht="12.75" x14ac:dyDescent="0.2">
      <c r="A81" s="527" t="str">
        <f t="shared" si="35"/>
        <v>≥ Level 2 Aircrewmen</v>
      </c>
      <c r="B81" s="529">
        <f t="shared" ref="B81:AC81" si="55">IF($B130 = "NA","NA",ROUNDUP(IF(B$13="Deploy",MAX((B$104/100)*$B130,$B130),(B$104/100)*$B130),0))</f>
        <v>3</v>
      </c>
      <c r="C81" s="529">
        <f t="shared" si="55"/>
        <v>3</v>
      </c>
      <c r="D81" s="529">
        <f t="shared" si="55"/>
        <v>3</v>
      </c>
      <c r="E81" s="529">
        <f t="shared" si="55"/>
        <v>3</v>
      </c>
      <c r="F81" s="529">
        <f t="shared" si="55"/>
        <v>3</v>
      </c>
      <c r="G81" s="529">
        <f t="shared" si="55"/>
        <v>3</v>
      </c>
      <c r="H81" s="529">
        <f t="shared" si="55"/>
        <v>4</v>
      </c>
      <c r="I81" s="529">
        <f t="shared" si="55"/>
        <v>4</v>
      </c>
      <c r="J81" s="529">
        <f t="shared" si="55"/>
        <v>5</v>
      </c>
      <c r="K81" s="529">
        <f t="shared" si="55"/>
        <v>5</v>
      </c>
      <c r="L81" s="529">
        <f t="shared" si="55"/>
        <v>6</v>
      </c>
      <c r="M81" s="529">
        <f t="shared" si="55"/>
        <v>6</v>
      </c>
      <c r="N81" s="529">
        <f t="shared" si="55"/>
        <v>6</v>
      </c>
      <c r="O81" s="529">
        <f t="shared" si="55"/>
        <v>6</v>
      </c>
      <c r="P81" s="529">
        <f t="shared" si="55"/>
        <v>6</v>
      </c>
      <c r="Q81" s="529">
        <f t="shared" si="55"/>
        <v>6</v>
      </c>
      <c r="R81" s="529">
        <f t="shared" si="55"/>
        <v>7</v>
      </c>
      <c r="S81" s="529">
        <f t="shared" si="55"/>
        <v>7</v>
      </c>
      <c r="T81" s="529">
        <f t="shared" si="55"/>
        <v>7</v>
      </c>
      <c r="U81" s="529">
        <f t="shared" si="55"/>
        <v>7</v>
      </c>
      <c r="V81" s="529">
        <f t="shared" si="55"/>
        <v>7</v>
      </c>
      <c r="W81" s="529">
        <f t="shared" si="55"/>
        <v>7</v>
      </c>
      <c r="X81" s="529">
        <f t="shared" si="55"/>
        <v>7</v>
      </c>
      <c r="Y81" s="529">
        <f t="shared" si="55"/>
        <v>7</v>
      </c>
      <c r="Z81" s="529">
        <f t="shared" si="55"/>
        <v>6</v>
      </c>
      <c r="AA81" s="529">
        <f t="shared" si="55"/>
        <v>6</v>
      </c>
      <c r="AB81" s="529">
        <f t="shared" si="55"/>
        <v>6</v>
      </c>
      <c r="AC81" s="529">
        <f t="shared" si="55"/>
        <v>3</v>
      </c>
    </row>
    <row r="82" spans="1:29" ht="12.75" x14ac:dyDescent="0.2">
      <c r="A82" s="527" t="str">
        <f t="shared" si="35"/>
        <v>≥ Level 1 Aircrewmen</v>
      </c>
      <c r="B82" s="529">
        <f t="shared" ref="B82:AC82" si="56">IF($B131 = "NA","NA",ROUNDUP(IF(B$13="Deploy",MAX((B$104/100)*$B131,$B131),(B$104/100)*$B131),0))</f>
        <v>7</v>
      </c>
      <c r="C82" s="529">
        <f t="shared" si="56"/>
        <v>7</v>
      </c>
      <c r="D82" s="529">
        <f t="shared" si="56"/>
        <v>7</v>
      </c>
      <c r="E82" s="529">
        <f t="shared" si="56"/>
        <v>7</v>
      </c>
      <c r="F82" s="529">
        <f t="shared" si="56"/>
        <v>7</v>
      </c>
      <c r="G82" s="529">
        <f t="shared" si="56"/>
        <v>7</v>
      </c>
      <c r="H82" s="529">
        <f t="shared" si="56"/>
        <v>9</v>
      </c>
      <c r="I82" s="529">
        <f t="shared" si="56"/>
        <v>10</v>
      </c>
      <c r="J82" s="529">
        <f t="shared" si="56"/>
        <v>11</v>
      </c>
      <c r="K82" s="529">
        <f t="shared" si="56"/>
        <v>12</v>
      </c>
      <c r="L82" s="529">
        <f t="shared" si="56"/>
        <v>14</v>
      </c>
      <c r="M82" s="529">
        <f t="shared" si="56"/>
        <v>16</v>
      </c>
      <c r="N82" s="529">
        <f t="shared" si="56"/>
        <v>16</v>
      </c>
      <c r="O82" s="529">
        <f t="shared" si="56"/>
        <v>16</v>
      </c>
      <c r="P82" s="529">
        <f t="shared" si="56"/>
        <v>16</v>
      </c>
      <c r="Q82" s="529">
        <f t="shared" si="56"/>
        <v>16</v>
      </c>
      <c r="R82" s="529">
        <f t="shared" si="56"/>
        <v>18</v>
      </c>
      <c r="S82" s="529">
        <f t="shared" si="56"/>
        <v>18</v>
      </c>
      <c r="T82" s="529">
        <f t="shared" si="56"/>
        <v>18</v>
      </c>
      <c r="U82" s="529">
        <f t="shared" si="56"/>
        <v>18</v>
      </c>
      <c r="V82" s="529">
        <f t="shared" si="56"/>
        <v>18</v>
      </c>
      <c r="W82" s="529">
        <f t="shared" si="56"/>
        <v>18</v>
      </c>
      <c r="X82" s="529">
        <f t="shared" si="56"/>
        <v>17</v>
      </c>
      <c r="Y82" s="529">
        <f t="shared" si="56"/>
        <v>17</v>
      </c>
      <c r="Z82" s="529">
        <f t="shared" si="56"/>
        <v>16</v>
      </c>
      <c r="AA82" s="529">
        <f t="shared" si="56"/>
        <v>16</v>
      </c>
      <c r="AB82" s="529">
        <f t="shared" si="56"/>
        <v>15</v>
      </c>
      <c r="AC82" s="529">
        <f t="shared" si="56"/>
        <v>6</v>
      </c>
    </row>
    <row r="83" spans="1:29" ht="12.75" x14ac:dyDescent="0.2">
      <c r="A83" s="527" t="str">
        <f t="shared" si="35"/>
        <v>≥ PR/SOF 3 Aircrewmen</v>
      </c>
      <c r="B83" s="529">
        <f t="shared" ref="B83:AC83" si="57">IF($B132 = "NA","NA",ROUNDUP(IF(B$13="Deploy",MAX((B$104/100)*$B132,$B132),(B$104/100)*$B132),0))</f>
        <v>1</v>
      </c>
      <c r="C83" s="529">
        <f t="shared" si="57"/>
        <v>1</v>
      </c>
      <c r="D83" s="529">
        <f t="shared" si="57"/>
        <v>1</v>
      </c>
      <c r="E83" s="529">
        <f t="shared" si="57"/>
        <v>1</v>
      </c>
      <c r="F83" s="529">
        <f t="shared" si="57"/>
        <v>1</v>
      </c>
      <c r="G83" s="529">
        <f t="shared" si="57"/>
        <v>1</v>
      </c>
      <c r="H83" s="529">
        <f t="shared" si="57"/>
        <v>1</v>
      </c>
      <c r="I83" s="529">
        <f t="shared" si="57"/>
        <v>2</v>
      </c>
      <c r="J83" s="529">
        <f t="shared" si="57"/>
        <v>2</v>
      </c>
      <c r="K83" s="529">
        <f t="shared" si="57"/>
        <v>2</v>
      </c>
      <c r="L83" s="529">
        <f t="shared" si="57"/>
        <v>2</v>
      </c>
      <c r="M83" s="529">
        <f t="shared" si="57"/>
        <v>2</v>
      </c>
      <c r="N83" s="529">
        <f t="shared" si="57"/>
        <v>2</v>
      </c>
      <c r="O83" s="529">
        <f t="shared" si="57"/>
        <v>2</v>
      </c>
      <c r="P83" s="529">
        <f t="shared" si="57"/>
        <v>2</v>
      </c>
      <c r="Q83" s="529">
        <f t="shared" si="57"/>
        <v>2</v>
      </c>
      <c r="R83" s="529">
        <f t="shared" si="57"/>
        <v>2</v>
      </c>
      <c r="S83" s="529">
        <f t="shared" si="57"/>
        <v>2</v>
      </c>
      <c r="T83" s="529">
        <f t="shared" si="57"/>
        <v>2</v>
      </c>
      <c r="U83" s="529">
        <f t="shared" si="57"/>
        <v>2</v>
      </c>
      <c r="V83" s="529">
        <f t="shared" si="57"/>
        <v>2</v>
      </c>
      <c r="W83" s="529">
        <f t="shared" si="57"/>
        <v>2</v>
      </c>
      <c r="X83" s="529">
        <f t="shared" si="57"/>
        <v>2</v>
      </c>
      <c r="Y83" s="529">
        <f t="shared" si="57"/>
        <v>2</v>
      </c>
      <c r="Z83" s="529">
        <f t="shared" si="57"/>
        <v>2</v>
      </c>
      <c r="AA83" s="529">
        <f t="shared" si="57"/>
        <v>2</v>
      </c>
      <c r="AB83" s="529">
        <f t="shared" si="57"/>
        <v>2</v>
      </c>
      <c r="AC83" s="529">
        <f t="shared" si="57"/>
        <v>1</v>
      </c>
    </row>
    <row r="84" spans="1:29" ht="12.75" x14ac:dyDescent="0.2">
      <c r="A84" s="527" t="str">
        <f t="shared" si="35"/>
        <v>≥ MIW Level 2 Aircrewmen</v>
      </c>
      <c r="B84" s="529" t="str">
        <f t="shared" ref="B84:AC84" si="58">IF($B133 = "NA","NA",ROUNDUP(IF(B$13="Deploy",MAX((B$104/100)*$B133,$B133),(B$104/100)*$B133),0))</f>
        <v>NA</v>
      </c>
      <c r="C84" s="529" t="str">
        <f t="shared" si="58"/>
        <v>NA</v>
      </c>
      <c r="D84" s="529" t="str">
        <f t="shared" si="58"/>
        <v>NA</v>
      </c>
      <c r="E84" s="529" t="str">
        <f t="shared" si="58"/>
        <v>NA</v>
      </c>
      <c r="F84" s="529" t="str">
        <f t="shared" si="58"/>
        <v>NA</v>
      </c>
      <c r="G84" s="529" t="str">
        <f t="shared" si="58"/>
        <v>NA</v>
      </c>
      <c r="H84" s="529" t="str">
        <f t="shared" si="58"/>
        <v>NA</v>
      </c>
      <c r="I84" s="529" t="str">
        <f t="shared" si="58"/>
        <v>NA</v>
      </c>
      <c r="J84" s="529" t="str">
        <f t="shared" si="58"/>
        <v>NA</v>
      </c>
      <c r="K84" s="529" t="str">
        <f t="shared" si="58"/>
        <v>NA</v>
      </c>
      <c r="L84" s="529" t="str">
        <f t="shared" si="58"/>
        <v>NA</v>
      </c>
      <c r="M84" s="529" t="str">
        <f t="shared" si="58"/>
        <v>NA</v>
      </c>
      <c r="N84" s="529" t="str">
        <f t="shared" si="58"/>
        <v>NA</v>
      </c>
      <c r="O84" s="529" t="str">
        <f t="shared" si="58"/>
        <v>NA</v>
      </c>
      <c r="P84" s="529" t="str">
        <f t="shared" si="58"/>
        <v>NA</v>
      </c>
      <c r="Q84" s="529" t="str">
        <f t="shared" si="58"/>
        <v>NA</v>
      </c>
      <c r="R84" s="529" t="str">
        <f t="shared" si="58"/>
        <v>NA</v>
      </c>
      <c r="S84" s="529" t="str">
        <f t="shared" si="58"/>
        <v>NA</v>
      </c>
      <c r="T84" s="529" t="str">
        <f t="shared" si="58"/>
        <v>NA</v>
      </c>
      <c r="U84" s="529" t="str">
        <f t="shared" si="58"/>
        <v>NA</v>
      </c>
      <c r="V84" s="529" t="str">
        <f t="shared" si="58"/>
        <v>NA</v>
      </c>
      <c r="W84" s="529" t="str">
        <f t="shared" si="58"/>
        <v>NA</v>
      </c>
      <c r="X84" s="529" t="str">
        <f t="shared" si="58"/>
        <v>NA</v>
      </c>
      <c r="Y84" s="529" t="str">
        <f t="shared" si="58"/>
        <v>NA</v>
      </c>
      <c r="Z84" s="529" t="str">
        <f t="shared" si="58"/>
        <v>NA</v>
      </c>
      <c r="AA84" s="529" t="str">
        <f t="shared" si="58"/>
        <v>NA</v>
      </c>
      <c r="AB84" s="529" t="str">
        <f t="shared" si="58"/>
        <v>NA</v>
      </c>
      <c r="AC84" s="529" t="str">
        <f t="shared" si="58"/>
        <v>NA</v>
      </c>
    </row>
    <row r="85" spans="1:29" ht="12.75" x14ac:dyDescent="0.2">
      <c r="A85" s="527" t="str">
        <f t="shared" si="35"/>
        <v>≥ MIW Level 1 Aircrewmen</v>
      </c>
      <c r="B85" s="529" t="str">
        <f t="shared" ref="B85:AC85" si="59">IF($B134 = "NA","NA",ROUNDUP(IF(B$13="Deploy",MAX((B$104/100)*$B134,$B134),(B$104/100)*$B134),0))</f>
        <v>NA</v>
      </c>
      <c r="C85" s="529" t="str">
        <f t="shared" si="59"/>
        <v>NA</v>
      </c>
      <c r="D85" s="529" t="str">
        <f t="shared" si="59"/>
        <v>NA</v>
      </c>
      <c r="E85" s="529" t="str">
        <f t="shared" si="59"/>
        <v>NA</v>
      </c>
      <c r="F85" s="529" t="str">
        <f t="shared" si="59"/>
        <v>NA</v>
      </c>
      <c r="G85" s="529" t="str">
        <f t="shared" si="59"/>
        <v>NA</v>
      </c>
      <c r="H85" s="529" t="str">
        <f t="shared" si="59"/>
        <v>NA</v>
      </c>
      <c r="I85" s="529" t="str">
        <f t="shared" si="59"/>
        <v>NA</v>
      </c>
      <c r="J85" s="529" t="str">
        <f t="shared" si="59"/>
        <v>NA</v>
      </c>
      <c r="K85" s="529" t="str">
        <f t="shared" si="59"/>
        <v>NA</v>
      </c>
      <c r="L85" s="529" t="str">
        <f t="shared" si="59"/>
        <v>NA</v>
      </c>
      <c r="M85" s="529" t="str">
        <f t="shared" si="59"/>
        <v>NA</v>
      </c>
      <c r="N85" s="529" t="str">
        <f t="shared" si="59"/>
        <v>NA</v>
      </c>
      <c r="O85" s="529" t="str">
        <f t="shared" si="59"/>
        <v>NA</v>
      </c>
      <c r="P85" s="529" t="str">
        <f t="shared" si="59"/>
        <v>NA</v>
      </c>
      <c r="Q85" s="529" t="str">
        <f t="shared" si="59"/>
        <v>NA</v>
      </c>
      <c r="R85" s="529" t="str">
        <f t="shared" si="59"/>
        <v>NA</v>
      </c>
      <c r="S85" s="529" t="str">
        <f t="shared" si="59"/>
        <v>NA</v>
      </c>
      <c r="T85" s="529" t="str">
        <f t="shared" si="59"/>
        <v>NA</v>
      </c>
      <c r="U85" s="529" t="str">
        <f t="shared" si="59"/>
        <v>NA</v>
      </c>
      <c r="V85" s="529" t="str">
        <f t="shared" si="59"/>
        <v>NA</v>
      </c>
      <c r="W85" s="529" t="str">
        <f t="shared" si="59"/>
        <v>NA</v>
      </c>
      <c r="X85" s="529" t="str">
        <f t="shared" si="59"/>
        <v>NA</v>
      </c>
      <c r="Y85" s="529" t="str">
        <f t="shared" si="59"/>
        <v>NA</v>
      </c>
      <c r="Z85" s="529" t="str">
        <f t="shared" si="59"/>
        <v>NA</v>
      </c>
      <c r="AA85" s="529" t="str">
        <f t="shared" si="59"/>
        <v>NA</v>
      </c>
      <c r="AB85" s="529" t="str">
        <f t="shared" si="59"/>
        <v>NA</v>
      </c>
      <c r="AC85" s="529" t="str">
        <f t="shared" si="59"/>
        <v>NA</v>
      </c>
    </row>
    <row r="86" spans="1:29" ht="12.75" x14ac:dyDescent="0.2">
      <c r="A86" s="527" t="str">
        <f t="shared" si="35"/>
        <v>≥ TAC Level 3 Aircrewmen</v>
      </c>
      <c r="B86" s="529" t="str">
        <f t="shared" ref="B86:AC86" si="60">IF($B135 = "NA","NA",ROUNDUP(IF(B$13="Deploy",MAX((B$104/100)*$B135,$B135),(B$104/100)*$B135),0))</f>
        <v>NA</v>
      </c>
      <c r="C86" s="529" t="str">
        <f t="shared" si="60"/>
        <v>NA</v>
      </c>
      <c r="D86" s="529" t="str">
        <f t="shared" si="60"/>
        <v>NA</v>
      </c>
      <c r="E86" s="529" t="str">
        <f t="shared" si="60"/>
        <v>NA</v>
      </c>
      <c r="F86" s="529" t="str">
        <f t="shared" si="60"/>
        <v>NA</v>
      </c>
      <c r="G86" s="529" t="str">
        <f t="shared" si="60"/>
        <v>NA</v>
      </c>
      <c r="H86" s="529" t="str">
        <f t="shared" si="60"/>
        <v>NA</v>
      </c>
      <c r="I86" s="529" t="str">
        <f t="shared" si="60"/>
        <v>NA</v>
      </c>
      <c r="J86" s="529" t="str">
        <f t="shared" si="60"/>
        <v>NA</v>
      </c>
      <c r="K86" s="529" t="str">
        <f t="shared" si="60"/>
        <v>NA</v>
      </c>
      <c r="L86" s="529" t="str">
        <f t="shared" si="60"/>
        <v>NA</v>
      </c>
      <c r="M86" s="529" t="str">
        <f t="shared" si="60"/>
        <v>NA</v>
      </c>
      <c r="N86" s="529" t="str">
        <f t="shared" si="60"/>
        <v>NA</v>
      </c>
      <c r="O86" s="529" t="str">
        <f t="shared" si="60"/>
        <v>NA</v>
      </c>
      <c r="P86" s="529" t="str">
        <f t="shared" si="60"/>
        <v>NA</v>
      </c>
      <c r="Q86" s="529" t="str">
        <f t="shared" si="60"/>
        <v>NA</v>
      </c>
      <c r="R86" s="529" t="str">
        <f t="shared" si="60"/>
        <v>NA</v>
      </c>
      <c r="S86" s="529" t="str">
        <f t="shared" si="60"/>
        <v>NA</v>
      </c>
      <c r="T86" s="529" t="str">
        <f t="shared" si="60"/>
        <v>NA</v>
      </c>
      <c r="U86" s="529" t="str">
        <f t="shared" si="60"/>
        <v>NA</v>
      </c>
      <c r="V86" s="529" t="str">
        <f t="shared" si="60"/>
        <v>NA</v>
      </c>
      <c r="W86" s="529" t="str">
        <f t="shared" si="60"/>
        <v>NA</v>
      </c>
      <c r="X86" s="529" t="str">
        <f t="shared" si="60"/>
        <v>NA</v>
      </c>
      <c r="Y86" s="529" t="str">
        <f t="shared" si="60"/>
        <v>NA</v>
      </c>
      <c r="Z86" s="529" t="str">
        <f t="shared" si="60"/>
        <v>NA</v>
      </c>
      <c r="AA86" s="529" t="str">
        <f t="shared" si="60"/>
        <v>NA</v>
      </c>
      <c r="AB86" s="529" t="str">
        <f t="shared" si="60"/>
        <v>NA</v>
      </c>
      <c r="AC86" s="529" t="str">
        <f t="shared" si="60"/>
        <v>NA</v>
      </c>
    </row>
    <row r="87" spans="1:29" ht="12.75" x14ac:dyDescent="0.2">
      <c r="A87" s="527" t="str">
        <f t="shared" si="35"/>
        <v>≥ TAC Level 2 Aircrewmen</v>
      </c>
      <c r="B87" s="529" t="str">
        <f t="shared" ref="B87:AC87" si="61">IF($B136 = "NA","NA",ROUNDUP(IF(B$13="Deploy",MAX((B$104/100)*$B136,$B136),(B$104/100)*$B136),0))</f>
        <v>NA</v>
      </c>
      <c r="C87" s="529" t="str">
        <f t="shared" si="61"/>
        <v>NA</v>
      </c>
      <c r="D87" s="529" t="str">
        <f t="shared" si="61"/>
        <v>NA</v>
      </c>
      <c r="E87" s="529" t="str">
        <f t="shared" si="61"/>
        <v>NA</v>
      </c>
      <c r="F87" s="529" t="str">
        <f t="shared" si="61"/>
        <v>NA</v>
      </c>
      <c r="G87" s="529" t="str">
        <f t="shared" si="61"/>
        <v>NA</v>
      </c>
      <c r="H87" s="529" t="str">
        <f t="shared" si="61"/>
        <v>NA</v>
      </c>
      <c r="I87" s="529" t="str">
        <f t="shared" si="61"/>
        <v>NA</v>
      </c>
      <c r="J87" s="529" t="str">
        <f t="shared" si="61"/>
        <v>NA</v>
      </c>
      <c r="K87" s="529" t="str">
        <f t="shared" si="61"/>
        <v>NA</v>
      </c>
      <c r="L87" s="529" t="str">
        <f t="shared" si="61"/>
        <v>NA</v>
      </c>
      <c r="M87" s="529" t="str">
        <f t="shared" si="61"/>
        <v>NA</v>
      </c>
      <c r="N87" s="529" t="str">
        <f t="shared" si="61"/>
        <v>NA</v>
      </c>
      <c r="O87" s="529" t="str">
        <f t="shared" si="61"/>
        <v>NA</v>
      </c>
      <c r="P87" s="529" t="str">
        <f t="shared" si="61"/>
        <v>NA</v>
      </c>
      <c r="Q87" s="529" t="str">
        <f t="shared" si="61"/>
        <v>NA</v>
      </c>
      <c r="R87" s="529" t="str">
        <f t="shared" si="61"/>
        <v>NA</v>
      </c>
      <c r="S87" s="529" t="str">
        <f t="shared" si="61"/>
        <v>NA</v>
      </c>
      <c r="T87" s="529" t="str">
        <f t="shared" si="61"/>
        <v>NA</v>
      </c>
      <c r="U87" s="529" t="str">
        <f t="shared" si="61"/>
        <v>NA</v>
      </c>
      <c r="V87" s="529" t="str">
        <f t="shared" si="61"/>
        <v>NA</v>
      </c>
      <c r="W87" s="529" t="str">
        <f t="shared" si="61"/>
        <v>NA</v>
      </c>
      <c r="X87" s="529" t="str">
        <f t="shared" si="61"/>
        <v>NA</v>
      </c>
      <c r="Y87" s="529" t="str">
        <f t="shared" si="61"/>
        <v>NA</v>
      </c>
      <c r="Z87" s="529" t="str">
        <f t="shared" si="61"/>
        <v>NA</v>
      </c>
      <c r="AA87" s="529" t="str">
        <f t="shared" si="61"/>
        <v>NA</v>
      </c>
      <c r="AB87" s="529" t="str">
        <f t="shared" si="61"/>
        <v>NA</v>
      </c>
      <c r="AC87" s="529" t="str">
        <f t="shared" si="61"/>
        <v>NA</v>
      </c>
    </row>
    <row r="88" spans="1:29" ht="12.75" x14ac:dyDescent="0.2">
      <c r="A88" s="527" t="str">
        <f t="shared" si="35"/>
        <v>Aerial Gunnery Instructor (AGI) Aircrewmen</v>
      </c>
      <c r="B88" s="529">
        <f t="shared" ref="B88:AC88" si="62">IF($B137 = "NA","NA",ROUNDUP(IF(B$13="Deploy",MAX((B$104/100)*$B137,$B137),(B$104/100)*$B137),0))</f>
        <v>1</v>
      </c>
      <c r="C88" s="529">
        <f t="shared" si="62"/>
        <v>1</v>
      </c>
      <c r="D88" s="529">
        <f t="shared" si="62"/>
        <v>1</v>
      </c>
      <c r="E88" s="529">
        <f t="shared" si="62"/>
        <v>1</v>
      </c>
      <c r="F88" s="529">
        <f t="shared" si="62"/>
        <v>1</v>
      </c>
      <c r="G88" s="529">
        <f t="shared" si="62"/>
        <v>1</v>
      </c>
      <c r="H88" s="529">
        <f t="shared" si="62"/>
        <v>1</v>
      </c>
      <c r="I88" s="529">
        <f t="shared" si="62"/>
        <v>2</v>
      </c>
      <c r="J88" s="529">
        <f t="shared" si="62"/>
        <v>2</v>
      </c>
      <c r="K88" s="529">
        <f t="shared" si="62"/>
        <v>2</v>
      </c>
      <c r="L88" s="529">
        <f t="shared" si="62"/>
        <v>2</v>
      </c>
      <c r="M88" s="529">
        <f t="shared" si="62"/>
        <v>2</v>
      </c>
      <c r="N88" s="529">
        <f t="shared" si="62"/>
        <v>2</v>
      </c>
      <c r="O88" s="529">
        <f t="shared" si="62"/>
        <v>2</v>
      </c>
      <c r="P88" s="529">
        <f t="shared" si="62"/>
        <v>2</v>
      </c>
      <c r="Q88" s="529">
        <f t="shared" si="62"/>
        <v>2</v>
      </c>
      <c r="R88" s="529">
        <f t="shared" si="62"/>
        <v>2</v>
      </c>
      <c r="S88" s="529">
        <f t="shared" si="62"/>
        <v>2</v>
      </c>
      <c r="T88" s="529">
        <f t="shared" si="62"/>
        <v>2</v>
      </c>
      <c r="U88" s="529">
        <f t="shared" si="62"/>
        <v>2</v>
      </c>
      <c r="V88" s="529">
        <f t="shared" si="62"/>
        <v>2</v>
      </c>
      <c r="W88" s="529">
        <f t="shared" si="62"/>
        <v>2</v>
      </c>
      <c r="X88" s="529">
        <f t="shared" si="62"/>
        <v>2</v>
      </c>
      <c r="Y88" s="529">
        <f t="shared" si="62"/>
        <v>2</v>
      </c>
      <c r="Z88" s="529">
        <f t="shared" si="62"/>
        <v>2</v>
      </c>
      <c r="AA88" s="529">
        <f t="shared" si="62"/>
        <v>2</v>
      </c>
      <c r="AB88" s="529">
        <f t="shared" si="62"/>
        <v>2</v>
      </c>
      <c r="AC88" s="529">
        <f t="shared" si="62"/>
        <v>1</v>
      </c>
    </row>
    <row r="89" spans="1:29" ht="12.75" x14ac:dyDescent="0.2">
      <c r="A89" s="527" t="str">
        <f t="shared" si="35"/>
        <v>Aerial Gunner (AG) Aircrewmen</v>
      </c>
      <c r="B89" s="529">
        <f t="shared" ref="B89:AC89" si="63">IF($B138 = "NA","NA",ROUNDUP(IF(B$13="Deploy",MAX((B$104/100)*$B138,$B138),(B$104/100)*$B138),0))</f>
        <v>6</v>
      </c>
      <c r="C89" s="529">
        <f t="shared" si="63"/>
        <v>6</v>
      </c>
      <c r="D89" s="529">
        <f t="shared" si="63"/>
        <v>6</v>
      </c>
      <c r="E89" s="529">
        <f t="shared" si="63"/>
        <v>6</v>
      </c>
      <c r="F89" s="529">
        <f t="shared" si="63"/>
        <v>6</v>
      </c>
      <c r="G89" s="529">
        <f t="shared" si="63"/>
        <v>6</v>
      </c>
      <c r="H89" s="529">
        <f t="shared" si="63"/>
        <v>7</v>
      </c>
      <c r="I89" s="529">
        <f t="shared" si="63"/>
        <v>8</v>
      </c>
      <c r="J89" s="529">
        <f t="shared" si="63"/>
        <v>9</v>
      </c>
      <c r="K89" s="529">
        <f t="shared" si="63"/>
        <v>9</v>
      </c>
      <c r="L89" s="529">
        <f t="shared" si="63"/>
        <v>11</v>
      </c>
      <c r="M89" s="529">
        <f t="shared" si="63"/>
        <v>12</v>
      </c>
      <c r="N89" s="529">
        <f t="shared" si="63"/>
        <v>12</v>
      </c>
      <c r="O89" s="529">
        <f t="shared" si="63"/>
        <v>12</v>
      </c>
      <c r="P89" s="529">
        <f t="shared" si="63"/>
        <v>12</v>
      </c>
      <c r="Q89" s="529">
        <f t="shared" si="63"/>
        <v>12</v>
      </c>
      <c r="R89" s="529">
        <f t="shared" si="63"/>
        <v>14</v>
      </c>
      <c r="S89" s="529">
        <f t="shared" si="63"/>
        <v>14</v>
      </c>
      <c r="T89" s="529">
        <f t="shared" si="63"/>
        <v>14</v>
      </c>
      <c r="U89" s="529">
        <f t="shared" si="63"/>
        <v>14</v>
      </c>
      <c r="V89" s="529">
        <f t="shared" si="63"/>
        <v>14</v>
      </c>
      <c r="W89" s="529">
        <f t="shared" si="63"/>
        <v>14</v>
      </c>
      <c r="X89" s="529">
        <f t="shared" si="63"/>
        <v>14</v>
      </c>
      <c r="Y89" s="529">
        <f t="shared" si="63"/>
        <v>13</v>
      </c>
      <c r="Z89" s="529">
        <f t="shared" si="63"/>
        <v>12</v>
      </c>
      <c r="AA89" s="529">
        <f t="shared" si="63"/>
        <v>12</v>
      </c>
      <c r="AB89" s="529">
        <f t="shared" si="63"/>
        <v>12</v>
      </c>
      <c r="AC89" s="529">
        <f t="shared" si="63"/>
        <v>5</v>
      </c>
    </row>
    <row r="90" spans="1:29" ht="12.75" x14ac:dyDescent="0.2">
      <c r="A90" s="527" t="str">
        <f t="shared" si="35"/>
        <v>Mountain Flying School Aircrewmen</v>
      </c>
      <c r="B90" s="529">
        <f t="shared" ref="B90:AC90" si="64">IF($B139 = "NA","NA",ROUNDUP(IF(B$13="Deploy",MAX((B$104/100)*$B139,$B139),(B$104/100)*$B139),0))</f>
        <v>1</v>
      </c>
      <c r="C90" s="529">
        <f t="shared" si="64"/>
        <v>1</v>
      </c>
      <c r="D90" s="529">
        <f t="shared" si="64"/>
        <v>1</v>
      </c>
      <c r="E90" s="529">
        <f t="shared" si="64"/>
        <v>1</v>
      </c>
      <c r="F90" s="529">
        <f t="shared" si="64"/>
        <v>1</v>
      </c>
      <c r="G90" s="529">
        <f t="shared" si="64"/>
        <v>1</v>
      </c>
      <c r="H90" s="529">
        <f t="shared" si="64"/>
        <v>1</v>
      </c>
      <c r="I90" s="529">
        <f t="shared" si="64"/>
        <v>1</v>
      </c>
      <c r="J90" s="529">
        <f t="shared" si="64"/>
        <v>1</v>
      </c>
      <c r="K90" s="529">
        <f t="shared" si="64"/>
        <v>1</v>
      </c>
      <c r="L90" s="529">
        <f t="shared" si="64"/>
        <v>1</v>
      </c>
      <c r="M90" s="529">
        <f t="shared" si="64"/>
        <v>1</v>
      </c>
      <c r="N90" s="529">
        <f t="shared" si="64"/>
        <v>1</v>
      </c>
      <c r="O90" s="529">
        <f t="shared" si="64"/>
        <v>1</v>
      </c>
      <c r="P90" s="529">
        <f t="shared" si="64"/>
        <v>1</v>
      </c>
      <c r="Q90" s="529">
        <f t="shared" si="64"/>
        <v>1</v>
      </c>
      <c r="R90" s="529">
        <f t="shared" si="64"/>
        <v>1</v>
      </c>
      <c r="S90" s="529">
        <f t="shared" si="64"/>
        <v>1</v>
      </c>
      <c r="T90" s="529">
        <f t="shared" si="64"/>
        <v>1</v>
      </c>
      <c r="U90" s="529">
        <f t="shared" si="64"/>
        <v>1</v>
      </c>
      <c r="V90" s="529">
        <f t="shared" si="64"/>
        <v>1</v>
      </c>
      <c r="W90" s="529">
        <f t="shared" si="64"/>
        <v>1</v>
      </c>
      <c r="X90" s="529">
        <f t="shared" si="64"/>
        <v>1</v>
      </c>
      <c r="Y90" s="529">
        <f t="shared" si="64"/>
        <v>1</v>
      </c>
      <c r="Z90" s="529">
        <f t="shared" si="64"/>
        <v>1</v>
      </c>
      <c r="AA90" s="529">
        <f t="shared" si="64"/>
        <v>1</v>
      </c>
      <c r="AB90" s="529">
        <f t="shared" si="64"/>
        <v>1</v>
      </c>
      <c r="AC90" s="529">
        <f t="shared" si="64"/>
        <v>1</v>
      </c>
    </row>
    <row r="91" spans="1:29" ht="12.75" x14ac:dyDescent="0.2">
      <c r="A91" s="527" t="str">
        <f t="shared" si="35"/>
        <v>≥ HM (Paramedic) Aircrewmen</v>
      </c>
      <c r="B91" s="529" t="str">
        <f t="shared" ref="B91:AC91" si="65">IF($B140 = "NA","NA",ROUNDUP(IF(B$13="Deploy",MAX((B$104/100)*$B140,$B140),(B$104/100)*$B140),0))</f>
        <v>NA</v>
      </c>
      <c r="C91" s="529" t="str">
        <f t="shared" si="65"/>
        <v>NA</v>
      </c>
      <c r="D91" s="529" t="str">
        <f t="shared" si="65"/>
        <v>NA</v>
      </c>
      <c r="E91" s="529" t="str">
        <f t="shared" si="65"/>
        <v>NA</v>
      </c>
      <c r="F91" s="529" t="str">
        <f t="shared" si="65"/>
        <v>NA</v>
      </c>
      <c r="G91" s="529" t="str">
        <f t="shared" si="65"/>
        <v>NA</v>
      </c>
      <c r="H91" s="529" t="str">
        <f t="shared" si="65"/>
        <v>NA</v>
      </c>
      <c r="I91" s="529" t="str">
        <f t="shared" si="65"/>
        <v>NA</v>
      </c>
      <c r="J91" s="529" t="str">
        <f t="shared" si="65"/>
        <v>NA</v>
      </c>
      <c r="K91" s="529" t="str">
        <f t="shared" si="65"/>
        <v>NA</v>
      </c>
      <c r="L91" s="529" t="str">
        <f t="shared" si="65"/>
        <v>NA</v>
      </c>
      <c r="M91" s="529" t="str">
        <f t="shared" si="65"/>
        <v>NA</v>
      </c>
      <c r="N91" s="529" t="str">
        <f t="shared" si="65"/>
        <v>NA</v>
      </c>
      <c r="O91" s="529" t="str">
        <f t="shared" si="65"/>
        <v>NA</v>
      </c>
      <c r="P91" s="529" t="str">
        <f t="shared" si="65"/>
        <v>NA</v>
      </c>
      <c r="Q91" s="529" t="str">
        <f t="shared" si="65"/>
        <v>NA</v>
      </c>
      <c r="R91" s="529" t="str">
        <f t="shared" si="65"/>
        <v>NA</v>
      </c>
      <c r="S91" s="529" t="str">
        <f t="shared" si="65"/>
        <v>NA</v>
      </c>
      <c r="T91" s="529" t="str">
        <f t="shared" si="65"/>
        <v>NA</v>
      </c>
      <c r="U91" s="529" t="str">
        <f t="shared" si="65"/>
        <v>NA</v>
      </c>
      <c r="V91" s="529" t="str">
        <f t="shared" si="65"/>
        <v>NA</v>
      </c>
      <c r="W91" s="529" t="str">
        <f t="shared" si="65"/>
        <v>NA</v>
      </c>
      <c r="X91" s="529" t="str">
        <f t="shared" si="65"/>
        <v>NA</v>
      </c>
      <c r="Y91" s="529" t="str">
        <f t="shared" si="65"/>
        <v>NA</v>
      </c>
      <c r="Z91" s="529" t="str">
        <f t="shared" si="65"/>
        <v>NA</v>
      </c>
      <c r="AA91" s="529" t="str">
        <f t="shared" si="65"/>
        <v>NA</v>
      </c>
      <c r="AB91" s="529" t="str">
        <f t="shared" si="65"/>
        <v>NA</v>
      </c>
      <c r="AC91" s="529" t="str">
        <f t="shared" si="65"/>
        <v>NA</v>
      </c>
    </row>
    <row r="92" spans="1:29" ht="12.75" x14ac:dyDescent="0.2">
      <c r="A92" s="527" t="str">
        <f t="shared" si="35"/>
        <v>Required Skilled Crews</v>
      </c>
      <c r="B92" s="529">
        <f t="shared" ref="B92:AC92" si="66">IF($B141 = "NA","NA",ROUNDUP(IF(B$13="Deploy",MAX((B$104/100)*$B141,$B141),(B$104/100)*$B141),0))</f>
        <v>3</v>
      </c>
      <c r="C92" s="529">
        <f t="shared" si="66"/>
        <v>3</v>
      </c>
      <c r="D92" s="529">
        <f t="shared" si="66"/>
        <v>3</v>
      </c>
      <c r="E92" s="529">
        <f t="shared" si="66"/>
        <v>3</v>
      </c>
      <c r="F92" s="529">
        <f t="shared" si="66"/>
        <v>3</v>
      </c>
      <c r="G92" s="529">
        <f t="shared" si="66"/>
        <v>3</v>
      </c>
      <c r="H92" s="529">
        <f t="shared" si="66"/>
        <v>4</v>
      </c>
      <c r="I92" s="529">
        <f t="shared" si="66"/>
        <v>4</v>
      </c>
      <c r="J92" s="529">
        <f t="shared" si="66"/>
        <v>5</v>
      </c>
      <c r="K92" s="529">
        <f t="shared" si="66"/>
        <v>5</v>
      </c>
      <c r="L92" s="529">
        <f t="shared" si="66"/>
        <v>6</v>
      </c>
      <c r="M92" s="529">
        <f t="shared" si="66"/>
        <v>6</v>
      </c>
      <c r="N92" s="529">
        <f t="shared" si="66"/>
        <v>6</v>
      </c>
      <c r="O92" s="529">
        <f t="shared" si="66"/>
        <v>6</v>
      </c>
      <c r="P92" s="529">
        <f t="shared" si="66"/>
        <v>6</v>
      </c>
      <c r="Q92" s="529">
        <f t="shared" si="66"/>
        <v>6</v>
      </c>
      <c r="R92" s="529">
        <f t="shared" si="66"/>
        <v>7</v>
      </c>
      <c r="S92" s="529">
        <f t="shared" si="66"/>
        <v>7</v>
      </c>
      <c r="T92" s="529">
        <f t="shared" si="66"/>
        <v>7</v>
      </c>
      <c r="U92" s="529">
        <f t="shared" si="66"/>
        <v>7</v>
      </c>
      <c r="V92" s="529">
        <f t="shared" si="66"/>
        <v>7</v>
      </c>
      <c r="W92" s="529">
        <f t="shared" si="66"/>
        <v>7</v>
      </c>
      <c r="X92" s="529">
        <f t="shared" si="66"/>
        <v>7</v>
      </c>
      <c r="Y92" s="529">
        <f t="shared" si="66"/>
        <v>7</v>
      </c>
      <c r="Z92" s="529">
        <f t="shared" si="66"/>
        <v>6</v>
      </c>
      <c r="AA92" s="529">
        <f t="shared" si="66"/>
        <v>6</v>
      </c>
      <c r="AB92" s="529">
        <f t="shared" si="66"/>
        <v>6</v>
      </c>
      <c r="AC92" s="529">
        <f t="shared" si="66"/>
        <v>3</v>
      </c>
    </row>
    <row r="93" spans="1:29" ht="12.75" x14ac:dyDescent="0.2">
      <c r="A93" s="531" t="s">
        <v>166</v>
      </c>
      <c r="B93" s="532"/>
      <c r="C93" s="533"/>
      <c r="D93" s="533"/>
      <c r="E93" s="533"/>
      <c r="F93" s="533"/>
      <c r="G93" s="533"/>
      <c r="H93" s="533"/>
      <c r="I93" s="533"/>
      <c r="J93" s="533"/>
      <c r="K93" s="533"/>
      <c r="L93" s="533"/>
      <c r="M93" s="533"/>
      <c r="N93" s="533"/>
      <c r="O93" s="533"/>
      <c r="P93" s="534"/>
      <c r="Q93" s="534"/>
      <c r="R93" s="534"/>
      <c r="S93" s="534"/>
      <c r="T93" s="534"/>
      <c r="U93" s="534"/>
      <c r="V93" s="534"/>
      <c r="W93" s="534"/>
      <c r="X93" s="534"/>
      <c r="Y93" s="534"/>
      <c r="Z93" s="534"/>
      <c r="AA93" s="534"/>
      <c r="AB93" s="534"/>
      <c r="AC93" s="642"/>
    </row>
    <row r="94" spans="1:29" x14ac:dyDescent="0.2">
      <c r="A94" s="513" t="s">
        <v>167</v>
      </c>
      <c r="B94" s="535">
        <v>0.95</v>
      </c>
      <c r="C94" s="535">
        <v>0.95</v>
      </c>
      <c r="D94" s="535">
        <v>0.95</v>
      </c>
      <c r="E94" s="535">
        <v>0.95</v>
      </c>
      <c r="F94" s="535">
        <v>0.95</v>
      </c>
      <c r="G94" s="535">
        <v>0.95</v>
      </c>
      <c r="H94" s="535">
        <v>0.95</v>
      </c>
      <c r="I94" s="535">
        <v>0.95</v>
      </c>
      <c r="J94" s="535">
        <v>0.95</v>
      </c>
      <c r="K94" s="535">
        <v>0.95</v>
      </c>
      <c r="L94" s="535">
        <v>0.95</v>
      </c>
      <c r="M94" s="535">
        <v>0.95</v>
      </c>
      <c r="N94" s="535">
        <v>0.95</v>
      </c>
      <c r="O94" s="535">
        <v>0.95</v>
      </c>
      <c r="P94" s="535">
        <v>0.95</v>
      </c>
      <c r="Q94" s="535">
        <v>0.95</v>
      </c>
      <c r="R94" s="535">
        <v>0.95</v>
      </c>
      <c r="S94" s="535">
        <v>0.95</v>
      </c>
      <c r="T94" s="535">
        <v>0.95</v>
      </c>
      <c r="U94" s="535">
        <v>0.95</v>
      </c>
      <c r="V94" s="535">
        <v>0.95</v>
      </c>
      <c r="W94" s="535">
        <v>0.95</v>
      </c>
      <c r="X94" s="535">
        <v>0.95</v>
      </c>
      <c r="Y94" s="535">
        <v>0.95</v>
      </c>
      <c r="Z94" s="535">
        <v>0.95</v>
      </c>
      <c r="AA94" s="535">
        <v>0.95</v>
      </c>
      <c r="AB94" s="535">
        <v>0.95</v>
      </c>
      <c r="AC94" s="535">
        <v>0.95</v>
      </c>
    </row>
    <row r="95" spans="1:29" s="329" customFormat="1" x14ac:dyDescent="0.2">
      <c r="A95" s="513" t="s">
        <v>168</v>
      </c>
      <c r="B95" s="354">
        <v>0.92</v>
      </c>
      <c r="C95" s="354">
        <v>0.92</v>
      </c>
      <c r="D95" s="354">
        <v>0.92</v>
      </c>
      <c r="E95" s="354">
        <v>0.92</v>
      </c>
      <c r="F95" s="354">
        <v>0.92</v>
      </c>
      <c r="G95" s="354">
        <v>0.92</v>
      </c>
      <c r="H95" s="354">
        <v>0.92</v>
      </c>
      <c r="I95" s="354">
        <v>0.92</v>
      </c>
      <c r="J95" s="354">
        <v>0.92</v>
      </c>
      <c r="K95" s="354">
        <v>0.92</v>
      </c>
      <c r="L95" s="354">
        <v>0.92</v>
      </c>
      <c r="M95" s="354">
        <v>0.92</v>
      </c>
      <c r="N95" s="354">
        <v>0.92</v>
      </c>
      <c r="O95" s="354">
        <v>0.92</v>
      </c>
      <c r="P95" s="354">
        <v>0.92</v>
      </c>
      <c r="Q95" s="354">
        <v>0.92</v>
      </c>
      <c r="R95" s="354">
        <v>0.92</v>
      </c>
      <c r="S95" s="354">
        <v>0.92</v>
      </c>
      <c r="T95" s="354">
        <v>0.92</v>
      </c>
      <c r="U95" s="354">
        <v>0.92</v>
      </c>
      <c r="V95" s="354">
        <v>0.92</v>
      </c>
      <c r="W95" s="354">
        <v>0.92</v>
      </c>
      <c r="X95" s="354">
        <v>0.92</v>
      </c>
      <c r="Y95" s="354">
        <v>0.92</v>
      </c>
      <c r="Z95" s="354">
        <v>0.92</v>
      </c>
      <c r="AA95" s="354">
        <v>0.92</v>
      </c>
      <c r="AB95" s="354">
        <v>0.92</v>
      </c>
      <c r="AC95" s="354">
        <v>0.92</v>
      </c>
    </row>
    <row r="96" spans="1:29" s="536" customFormat="1" x14ac:dyDescent="0.2">
      <c r="A96" s="513" t="s">
        <v>169</v>
      </c>
      <c r="B96" s="354">
        <v>0.75</v>
      </c>
      <c r="C96" s="354">
        <v>0.75</v>
      </c>
      <c r="D96" s="354">
        <v>0.75</v>
      </c>
      <c r="E96" s="354">
        <v>0.75</v>
      </c>
      <c r="F96" s="354">
        <v>0.75</v>
      </c>
      <c r="G96" s="354">
        <v>0.75</v>
      </c>
      <c r="H96" s="354">
        <v>0.75</v>
      </c>
      <c r="I96" s="354">
        <v>0.75</v>
      </c>
      <c r="J96" s="354">
        <v>0.75</v>
      </c>
      <c r="K96" s="354">
        <v>0.75</v>
      </c>
      <c r="L96" s="354">
        <v>0.75</v>
      </c>
      <c r="M96" s="354">
        <v>0.75</v>
      </c>
      <c r="N96" s="354">
        <v>0.75</v>
      </c>
      <c r="O96" s="354">
        <v>0.75</v>
      </c>
      <c r="P96" s="354">
        <v>0.75</v>
      </c>
      <c r="Q96" s="354">
        <v>0.75</v>
      </c>
      <c r="R96" s="354">
        <v>0.75</v>
      </c>
      <c r="S96" s="354">
        <v>0.75</v>
      </c>
      <c r="T96" s="354">
        <v>0.75</v>
      </c>
      <c r="U96" s="354">
        <v>0.75</v>
      </c>
      <c r="V96" s="354">
        <v>0.75</v>
      </c>
      <c r="W96" s="354">
        <v>0.75</v>
      </c>
      <c r="X96" s="354">
        <v>0.75</v>
      </c>
      <c r="Y96" s="354">
        <v>0.75</v>
      </c>
      <c r="Z96" s="354">
        <v>0.75</v>
      </c>
      <c r="AA96" s="354">
        <v>0.75</v>
      </c>
      <c r="AB96" s="354">
        <v>0.75</v>
      </c>
      <c r="AC96" s="354">
        <v>0.75</v>
      </c>
    </row>
    <row r="97" spans="1:29" ht="13.5" thickBot="1" x14ac:dyDescent="0.25">
      <c r="A97" s="537"/>
      <c r="B97" s="75"/>
      <c r="C97" s="537"/>
      <c r="D97" s="537"/>
      <c r="E97" s="537"/>
      <c r="F97" s="537"/>
      <c r="G97" s="537"/>
      <c r="H97" s="478"/>
      <c r="I97" s="538"/>
      <c r="J97" s="539"/>
      <c r="K97" s="540"/>
      <c r="L97" s="540"/>
      <c r="M97" s="478"/>
      <c r="N97" s="538"/>
      <c r="O97" s="539"/>
      <c r="P97" s="478"/>
      <c r="Q97" s="540"/>
      <c r="R97" s="478"/>
      <c r="S97" s="537"/>
      <c r="T97" s="541"/>
      <c r="U97" s="537"/>
      <c r="V97" s="537"/>
      <c r="W97" s="537"/>
      <c r="X97" s="537"/>
      <c r="Y97" s="537"/>
      <c r="Z97" s="537"/>
      <c r="AA97" s="537"/>
      <c r="AB97" s="537"/>
    </row>
    <row r="98" spans="1:29" ht="13.5" thickBot="1" x14ac:dyDescent="0.25">
      <c r="A98" s="731" t="s">
        <v>170</v>
      </c>
      <c r="B98" s="732"/>
      <c r="C98" s="732"/>
      <c r="D98" s="732"/>
      <c r="E98" s="732"/>
      <c r="F98" s="732"/>
      <c r="G98" s="732"/>
      <c r="H98" s="732"/>
      <c r="I98" s="732"/>
      <c r="J98" s="732"/>
      <c r="K98" s="732"/>
      <c r="L98" s="732"/>
      <c r="M98" s="732"/>
      <c r="N98" s="732"/>
      <c r="O98" s="732"/>
      <c r="P98" s="732"/>
      <c r="Q98" s="732"/>
      <c r="R98" s="732"/>
      <c r="S98" s="732"/>
      <c r="T98" s="732"/>
      <c r="U98" s="732"/>
      <c r="V98" s="732"/>
      <c r="W98" s="732"/>
      <c r="X98" s="732"/>
      <c r="Y98" s="732"/>
      <c r="Z98" s="732"/>
      <c r="AA98" s="732"/>
      <c r="AB98" s="732"/>
      <c r="AC98" s="733"/>
    </row>
    <row r="99" spans="1:29" x14ac:dyDescent="0.2">
      <c r="A99" s="111" t="s">
        <v>171</v>
      </c>
      <c r="B99" s="112">
        <f>MIN(100,B101+$B105)</f>
        <v>41.766866457937404</v>
      </c>
      <c r="C99" s="112">
        <f t="shared" ref="C99:AB99" si="67">MIN(100,C101+$B105)</f>
        <v>41.766866457937404</v>
      </c>
      <c r="D99" s="112">
        <f t="shared" si="67"/>
        <v>41.766866457937404</v>
      </c>
      <c r="E99" s="112">
        <f t="shared" si="67"/>
        <v>41.766866457937404</v>
      </c>
      <c r="F99" s="112">
        <f t="shared" si="67"/>
        <v>41.766866457937404</v>
      </c>
      <c r="G99" s="112">
        <f t="shared" si="67"/>
        <v>41.766866457937404</v>
      </c>
      <c r="H99" s="112">
        <f t="shared" si="67"/>
        <v>41.766866457937404</v>
      </c>
      <c r="I99" s="112">
        <f t="shared" si="67"/>
        <v>56.766866457937404</v>
      </c>
      <c r="J99" s="112">
        <f t="shared" si="67"/>
        <v>78.766866457937397</v>
      </c>
      <c r="K99" s="112">
        <f t="shared" si="67"/>
        <v>96.766866457937397</v>
      </c>
      <c r="L99" s="112">
        <f t="shared" si="67"/>
        <v>100</v>
      </c>
      <c r="M99" s="112">
        <f t="shared" si="67"/>
        <v>100</v>
      </c>
      <c r="N99" s="112">
        <f t="shared" si="67"/>
        <v>100</v>
      </c>
      <c r="O99" s="112">
        <f t="shared" si="67"/>
        <v>100</v>
      </c>
      <c r="P99" s="112">
        <f t="shared" si="67"/>
        <v>100</v>
      </c>
      <c r="Q99" s="112">
        <f t="shared" si="67"/>
        <v>100</v>
      </c>
      <c r="R99" s="112">
        <f t="shared" si="67"/>
        <v>100</v>
      </c>
      <c r="S99" s="112">
        <f t="shared" si="67"/>
        <v>100</v>
      </c>
      <c r="T99" s="112">
        <f t="shared" si="67"/>
        <v>100</v>
      </c>
      <c r="U99" s="112">
        <f t="shared" si="67"/>
        <v>100</v>
      </c>
      <c r="V99" s="112">
        <f t="shared" si="67"/>
        <v>100</v>
      </c>
      <c r="W99" s="112">
        <f t="shared" si="67"/>
        <v>100</v>
      </c>
      <c r="X99" s="112">
        <f t="shared" si="67"/>
        <v>100</v>
      </c>
      <c r="Y99" s="112">
        <f t="shared" si="67"/>
        <v>100</v>
      </c>
      <c r="Z99" s="112">
        <f t="shared" si="67"/>
        <v>100</v>
      </c>
      <c r="AA99" s="112">
        <f t="shared" si="67"/>
        <v>100</v>
      </c>
      <c r="AB99" s="113">
        <f t="shared" si="67"/>
        <v>100</v>
      </c>
      <c r="AC99" s="171">
        <f>MIN(100,AC101+$B105)</f>
        <v>66.766866457937397</v>
      </c>
    </row>
    <row r="100" spans="1:29" x14ac:dyDescent="0.2">
      <c r="A100" s="54" t="s">
        <v>172</v>
      </c>
      <c r="B100" s="55">
        <f>MIN(100,B101+$B106)</f>
        <v>23.383433228968702</v>
      </c>
      <c r="C100" s="55">
        <f t="shared" ref="C100:AB100" si="68">MIN(100,C101+$B106)</f>
        <v>23.383433228968702</v>
      </c>
      <c r="D100" s="55">
        <f t="shared" si="68"/>
        <v>23.383433228968702</v>
      </c>
      <c r="E100" s="55">
        <f t="shared" si="68"/>
        <v>23.383433228968702</v>
      </c>
      <c r="F100" s="55">
        <f t="shared" si="68"/>
        <v>23.383433228968702</v>
      </c>
      <c r="G100" s="55">
        <f t="shared" si="68"/>
        <v>23.383433228968702</v>
      </c>
      <c r="H100" s="55">
        <f t="shared" si="68"/>
        <v>23.383433228968702</v>
      </c>
      <c r="I100" s="55">
        <f t="shared" si="68"/>
        <v>38.383433228968698</v>
      </c>
      <c r="J100" s="55">
        <f t="shared" si="68"/>
        <v>60.383433228968698</v>
      </c>
      <c r="K100" s="55">
        <f t="shared" si="68"/>
        <v>78.383433228968698</v>
      </c>
      <c r="L100" s="55">
        <f t="shared" si="68"/>
        <v>88.383433228968698</v>
      </c>
      <c r="M100" s="55">
        <f t="shared" si="68"/>
        <v>88.383433228968698</v>
      </c>
      <c r="N100" s="55">
        <f t="shared" si="68"/>
        <v>98.383433228968698</v>
      </c>
      <c r="O100" s="55">
        <f t="shared" si="68"/>
        <v>98.383433228968698</v>
      </c>
      <c r="P100" s="55">
        <f t="shared" si="68"/>
        <v>98.383433228968698</v>
      </c>
      <c r="Q100" s="55">
        <f t="shared" si="68"/>
        <v>98.383433228968698</v>
      </c>
      <c r="R100" s="55">
        <f t="shared" si="68"/>
        <v>100</v>
      </c>
      <c r="S100" s="55">
        <f t="shared" si="68"/>
        <v>100</v>
      </c>
      <c r="T100" s="55">
        <f t="shared" si="68"/>
        <v>100</v>
      </c>
      <c r="U100" s="55">
        <f t="shared" si="68"/>
        <v>100</v>
      </c>
      <c r="V100" s="55">
        <f t="shared" si="68"/>
        <v>100</v>
      </c>
      <c r="W100" s="55">
        <f t="shared" si="68"/>
        <v>100</v>
      </c>
      <c r="X100" s="55">
        <f t="shared" si="68"/>
        <v>98.383433228968698</v>
      </c>
      <c r="Y100" s="55">
        <f t="shared" si="68"/>
        <v>98.383433228968698</v>
      </c>
      <c r="Z100" s="55">
        <f t="shared" si="68"/>
        <v>98.383433228968698</v>
      </c>
      <c r="AA100" s="55">
        <f t="shared" si="68"/>
        <v>98.383433228968698</v>
      </c>
      <c r="AB100" s="56">
        <f t="shared" si="68"/>
        <v>98.383433228968698</v>
      </c>
      <c r="AC100" s="172">
        <f>MIN(100,AC101+$B106)</f>
        <v>48.383433228968698</v>
      </c>
    </row>
    <row r="101" spans="1:29" x14ac:dyDescent="0.2">
      <c r="A101" s="54" t="s">
        <v>173</v>
      </c>
      <c r="B101" s="102">
        <v>5</v>
      </c>
      <c r="C101" s="102">
        <v>5</v>
      </c>
      <c r="D101" s="102">
        <v>5</v>
      </c>
      <c r="E101" s="102">
        <v>5</v>
      </c>
      <c r="F101" s="102">
        <v>5</v>
      </c>
      <c r="G101" s="102">
        <v>5</v>
      </c>
      <c r="H101" s="102">
        <v>5</v>
      </c>
      <c r="I101" s="102">
        <v>20</v>
      </c>
      <c r="J101" s="102">
        <v>42</v>
      </c>
      <c r="K101" s="102">
        <v>60</v>
      </c>
      <c r="L101" s="102">
        <v>70</v>
      </c>
      <c r="M101" s="102">
        <v>70</v>
      </c>
      <c r="N101" s="102">
        <v>80</v>
      </c>
      <c r="O101" s="102">
        <v>80</v>
      </c>
      <c r="P101" s="102">
        <v>80</v>
      </c>
      <c r="Q101" s="102">
        <v>80</v>
      </c>
      <c r="R101" s="102">
        <v>100</v>
      </c>
      <c r="S101" s="102">
        <v>100</v>
      </c>
      <c r="T101" s="102">
        <v>100</v>
      </c>
      <c r="U101" s="102">
        <v>100</v>
      </c>
      <c r="V101" s="102">
        <v>100</v>
      </c>
      <c r="W101" s="102">
        <v>100</v>
      </c>
      <c r="X101" s="102">
        <v>80</v>
      </c>
      <c r="Y101" s="102">
        <v>80</v>
      </c>
      <c r="Z101" s="102">
        <v>80</v>
      </c>
      <c r="AA101" s="102">
        <v>80</v>
      </c>
      <c r="AB101" s="161">
        <v>80</v>
      </c>
      <c r="AC101" s="173">
        <v>30</v>
      </c>
    </row>
    <row r="102" spans="1:29" x14ac:dyDescent="0.2">
      <c r="A102" s="54" t="s">
        <v>174</v>
      </c>
      <c r="B102" s="55">
        <f>MIN(80,IF(B$13="Deploy",80,MAX(0,B101-$B106)))</f>
        <v>0</v>
      </c>
      <c r="C102" s="55">
        <f t="shared" ref="C102:AB102" si="69">MIN(80,IF(C$13="Deploy",80,MAX(0,C101-$B106)))</f>
        <v>0</v>
      </c>
      <c r="D102" s="55">
        <f t="shared" si="69"/>
        <v>0</v>
      </c>
      <c r="E102" s="55">
        <f t="shared" si="69"/>
        <v>0</v>
      </c>
      <c r="F102" s="55">
        <f t="shared" si="69"/>
        <v>0</v>
      </c>
      <c r="G102" s="55">
        <f t="shared" si="69"/>
        <v>0</v>
      </c>
      <c r="H102" s="55">
        <f t="shared" si="69"/>
        <v>0</v>
      </c>
      <c r="I102" s="55">
        <f t="shared" si="69"/>
        <v>1.6165667710312981</v>
      </c>
      <c r="J102" s="55">
        <f t="shared" si="69"/>
        <v>23.616566771031298</v>
      </c>
      <c r="K102" s="55">
        <f t="shared" si="69"/>
        <v>41.616566771031302</v>
      </c>
      <c r="L102" s="55">
        <f t="shared" si="69"/>
        <v>51.616566771031302</v>
      </c>
      <c r="M102" s="55">
        <f t="shared" si="69"/>
        <v>51.616566771031302</v>
      </c>
      <c r="N102" s="55">
        <f t="shared" si="69"/>
        <v>61.616566771031302</v>
      </c>
      <c r="O102" s="55">
        <f t="shared" si="69"/>
        <v>61.616566771031302</v>
      </c>
      <c r="P102" s="55">
        <f t="shared" si="69"/>
        <v>61.616566771031302</v>
      </c>
      <c r="Q102" s="55">
        <f t="shared" si="69"/>
        <v>61.616566771031302</v>
      </c>
      <c r="R102" s="55">
        <f t="shared" si="69"/>
        <v>80</v>
      </c>
      <c r="S102" s="55">
        <f t="shared" si="69"/>
        <v>80</v>
      </c>
      <c r="T102" s="55">
        <f t="shared" si="69"/>
        <v>80</v>
      </c>
      <c r="U102" s="55">
        <f t="shared" si="69"/>
        <v>80</v>
      </c>
      <c r="V102" s="55">
        <f t="shared" si="69"/>
        <v>80</v>
      </c>
      <c r="W102" s="55">
        <f t="shared" si="69"/>
        <v>80</v>
      </c>
      <c r="X102" s="55">
        <f t="shared" si="69"/>
        <v>61.616566771031302</v>
      </c>
      <c r="Y102" s="55">
        <f t="shared" si="69"/>
        <v>61.616566771031302</v>
      </c>
      <c r="Z102" s="55">
        <f t="shared" si="69"/>
        <v>61.616566771031302</v>
      </c>
      <c r="AA102" s="55">
        <f t="shared" si="69"/>
        <v>61.616566771031302</v>
      </c>
      <c r="AB102" s="56">
        <f t="shared" si="69"/>
        <v>61.616566771031302</v>
      </c>
      <c r="AC102" s="172">
        <f>MIN(80,IF(AC$13="Deploy",80,MAX(0,AC101-$B106)))</f>
        <v>11.616566771031298</v>
      </c>
    </row>
    <row r="103" spans="1:29" ht="12.75" thickBot="1" x14ac:dyDescent="0.25">
      <c r="A103" s="57" t="s">
        <v>175</v>
      </c>
      <c r="B103" s="58">
        <f>MIN(80,IF(B$13="Deploy",60,MAX(0,B101-$B105)))</f>
        <v>0</v>
      </c>
      <c r="C103" s="58">
        <f t="shared" ref="C103:AC103" si="70">MIN(80,IF(C$13="Deploy",60,MAX(0,C101-$B105)))</f>
        <v>0</v>
      </c>
      <c r="D103" s="58">
        <f t="shared" si="70"/>
        <v>0</v>
      </c>
      <c r="E103" s="58">
        <f t="shared" si="70"/>
        <v>0</v>
      </c>
      <c r="F103" s="58">
        <f t="shared" si="70"/>
        <v>0</v>
      </c>
      <c r="G103" s="58">
        <f t="shared" si="70"/>
        <v>0</v>
      </c>
      <c r="H103" s="58">
        <f t="shared" si="70"/>
        <v>0</v>
      </c>
      <c r="I103" s="58">
        <f t="shared" si="70"/>
        <v>0</v>
      </c>
      <c r="J103" s="58">
        <f t="shared" si="70"/>
        <v>5.2331335420625962</v>
      </c>
      <c r="K103" s="58">
        <f t="shared" si="70"/>
        <v>23.233133542062596</v>
      </c>
      <c r="L103" s="58">
        <f t="shared" si="70"/>
        <v>33.233133542062596</v>
      </c>
      <c r="M103" s="58">
        <f t="shared" si="70"/>
        <v>33.233133542062596</v>
      </c>
      <c r="N103" s="58">
        <f t="shared" si="70"/>
        <v>43.233133542062596</v>
      </c>
      <c r="O103" s="58">
        <f t="shared" si="70"/>
        <v>43.233133542062596</v>
      </c>
      <c r="P103" s="58">
        <f t="shared" si="70"/>
        <v>43.233133542062596</v>
      </c>
      <c r="Q103" s="58">
        <f t="shared" si="70"/>
        <v>43.233133542062596</v>
      </c>
      <c r="R103" s="58">
        <f t="shared" si="70"/>
        <v>60</v>
      </c>
      <c r="S103" s="58">
        <f t="shared" si="70"/>
        <v>60</v>
      </c>
      <c r="T103" s="58">
        <f t="shared" si="70"/>
        <v>60</v>
      </c>
      <c r="U103" s="58">
        <f t="shared" si="70"/>
        <v>60</v>
      </c>
      <c r="V103" s="58">
        <f t="shared" si="70"/>
        <v>60</v>
      </c>
      <c r="W103" s="58">
        <f t="shared" si="70"/>
        <v>60</v>
      </c>
      <c r="X103" s="58">
        <f t="shared" si="70"/>
        <v>43.233133542062596</v>
      </c>
      <c r="Y103" s="58">
        <f t="shared" si="70"/>
        <v>43.233133542062596</v>
      </c>
      <c r="Z103" s="58">
        <f t="shared" si="70"/>
        <v>43.233133542062596</v>
      </c>
      <c r="AA103" s="58">
        <f t="shared" si="70"/>
        <v>43.233133542062596</v>
      </c>
      <c r="AB103" s="59">
        <f t="shared" si="70"/>
        <v>43.233133542062596</v>
      </c>
      <c r="AC103" s="174">
        <f t="shared" si="70"/>
        <v>0</v>
      </c>
    </row>
    <row r="104" spans="1:29" s="542" customFormat="1" ht="12.75" thickBot="1" x14ac:dyDescent="0.25">
      <c r="A104" s="219" t="s">
        <v>176</v>
      </c>
      <c r="B104" s="220">
        <v>37</v>
      </c>
      <c r="C104" s="220">
        <v>37</v>
      </c>
      <c r="D104" s="220">
        <v>37</v>
      </c>
      <c r="E104" s="220">
        <v>37</v>
      </c>
      <c r="F104" s="220">
        <v>37</v>
      </c>
      <c r="G104" s="220">
        <v>37</v>
      </c>
      <c r="H104" s="220">
        <v>46</v>
      </c>
      <c r="I104" s="220">
        <v>54</v>
      </c>
      <c r="J104" s="220">
        <v>61</v>
      </c>
      <c r="K104" s="220">
        <v>63</v>
      </c>
      <c r="L104" s="220">
        <v>75</v>
      </c>
      <c r="M104" s="220">
        <v>85</v>
      </c>
      <c r="N104" s="220">
        <v>85</v>
      </c>
      <c r="O104" s="220">
        <v>85</v>
      </c>
      <c r="P104" s="220">
        <v>85</v>
      </c>
      <c r="Q104" s="220">
        <v>85</v>
      </c>
      <c r="R104" s="220">
        <v>100</v>
      </c>
      <c r="S104" s="220">
        <v>100</v>
      </c>
      <c r="T104" s="220">
        <v>100</v>
      </c>
      <c r="U104" s="220">
        <v>100</v>
      </c>
      <c r="V104" s="220">
        <v>100</v>
      </c>
      <c r="W104" s="220">
        <v>100</v>
      </c>
      <c r="X104" s="220">
        <v>94</v>
      </c>
      <c r="Y104" s="220">
        <v>91</v>
      </c>
      <c r="Z104" s="220">
        <v>85</v>
      </c>
      <c r="AA104" s="220">
        <v>84</v>
      </c>
      <c r="AB104" s="223">
        <v>81</v>
      </c>
      <c r="AC104" s="222">
        <v>30</v>
      </c>
    </row>
    <row r="105" spans="1:29" s="542" customFormat="1" x14ac:dyDescent="0.2">
      <c r="A105" s="543" t="s">
        <v>177</v>
      </c>
      <c r="B105" s="544">
        <f t="array" ref="B105">SQRT(SUM(POWER(AVERAGE(B101:AB101)-(B101:AB101),2))/COUNT(B101:AB101))*1</f>
        <v>36.766866457937404</v>
      </c>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row>
    <row r="106" spans="1:29" ht="12.75" thickBot="1" x14ac:dyDescent="0.25">
      <c r="A106" s="545" t="s">
        <v>178</v>
      </c>
      <c r="B106" s="546">
        <f>B105/2</f>
        <v>18.383433228968702</v>
      </c>
    </row>
    <row r="107" spans="1:29" s="542" customFormat="1" ht="12.75" thickBot="1"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row>
    <row r="108" spans="1:29" s="542" customFormat="1" ht="13.5" thickBot="1" x14ac:dyDescent="0.25">
      <c r="A108" s="734" t="s">
        <v>179</v>
      </c>
      <c r="B108" s="735"/>
      <c r="C108" s="493"/>
      <c r="D108" s="493"/>
      <c r="E108" s="493"/>
      <c r="F108" s="493"/>
      <c r="G108" s="493"/>
      <c r="H108" s="493"/>
      <c r="I108" s="493"/>
      <c r="J108" s="493"/>
      <c r="K108" s="493"/>
      <c r="L108" s="493"/>
      <c r="M108" s="493"/>
      <c r="N108" s="493"/>
      <c r="O108" s="493"/>
      <c r="P108" s="493"/>
      <c r="Q108" s="493"/>
      <c r="R108" s="493"/>
      <c r="S108" s="493"/>
      <c r="T108" s="493"/>
      <c r="U108" s="493"/>
      <c r="V108" s="493"/>
      <c r="W108" s="493"/>
      <c r="X108" s="493"/>
      <c r="Y108" s="493"/>
      <c r="Z108" s="493"/>
      <c r="AA108" s="493"/>
      <c r="AB108" s="493"/>
      <c r="AC108" s="28"/>
    </row>
    <row r="109" spans="1:29" s="542" customFormat="1" ht="12.75" thickBot="1" x14ac:dyDescent="0.25">
      <c r="A109" s="736" t="s">
        <v>180</v>
      </c>
      <c r="B109" s="737"/>
      <c r="C109" s="493"/>
      <c r="D109" s="493"/>
      <c r="E109" s="493"/>
      <c r="F109" s="493"/>
      <c r="G109" s="493"/>
      <c r="H109" s="493"/>
      <c r="I109" s="493"/>
      <c r="J109" s="493"/>
      <c r="K109" s="493"/>
      <c r="L109" s="493"/>
      <c r="M109" s="493"/>
      <c r="N109" s="493"/>
      <c r="O109" s="493"/>
      <c r="P109" s="493"/>
      <c r="Q109" s="493"/>
      <c r="R109" s="493"/>
      <c r="S109" s="493"/>
      <c r="T109" s="493"/>
      <c r="U109" s="493"/>
      <c r="V109" s="493"/>
      <c r="W109" s="493"/>
      <c r="X109" s="493"/>
      <c r="Y109" s="493"/>
      <c r="Z109" s="493"/>
      <c r="AA109" s="493"/>
      <c r="AB109" s="493"/>
      <c r="AC109" s="28"/>
    </row>
    <row r="110" spans="1:29" s="542" customFormat="1" x14ac:dyDescent="0.2">
      <c r="A110" s="281" t="s">
        <v>181</v>
      </c>
      <c r="B110" s="547">
        <v>18</v>
      </c>
      <c r="C110" s="28"/>
      <c r="D110" s="75"/>
      <c r="E110" s="75"/>
      <c r="H110" s="28"/>
      <c r="I110" s="28"/>
      <c r="J110" s="28"/>
      <c r="K110" s="28"/>
      <c r="L110" s="28"/>
      <c r="M110" s="28"/>
      <c r="N110" s="28"/>
      <c r="O110" s="28"/>
      <c r="P110" s="28"/>
      <c r="Q110" s="28"/>
      <c r="R110" s="28"/>
      <c r="S110" s="28"/>
      <c r="T110" s="28"/>
      <c r="U110" s="28"/>
      <c r="V110" s="28"/>
      <c r="W110" s="28"/>
      <c r="X110" s="28"/>
      <c r="Y110" s="28"/>
      <c r="Z110" s="28"/>
      <c r="AA110" s="28"/>
      <c r="AB110" s="28"/>
      <c r="AC110" s="28"/>
    </row>
    <row r="111" spans="1:29" s="542" customFormat="1" x14ac:dyDescent="0.2">
      <c r="A111" s="282" t="s">
        <v>182</v>
      </c>
      <c r="B111" s="548">
        <v>18</v>
      </c>
      <c r="C111" s="28"/>
      <c r="D111" s="75"/>
      <c r="E111" s="75"/>
      <c r="H111" s="28"/>
      <c r="I111" s="28"/>
      <c r="J111" s="28"/>
      <c r="K111" s="28"/>
      <c r="L111" s="28"/>
      <c r="M111" s="28"/>
      <c r="N111" s="28"/>
      <c r="O111" s="28"/>
      <c r="P111" s="28"/>
      <c r="Q111" s="28"/>
      <c r="R111" s="28"/>
      <c r="S111" s="28"/>
      <c r="T111" s="28"/>
      <c r="U111" s="28"/>
      <c r="V111" s="28"/>
      <c r="W111" s="28"/>
      <c r="X111" s="28"/>
      <c r="Y111" s="28"/>
      <c r="Z111" s="28"/>
      <c r="AA111" s="28"/>
      <c r="AB111" s="28"/>
      <c r="AC111" s="28"/>
    </row>
    <row r="112" spans="1:29" s="542" customFormat="1" x14ac:dyDescent="0.2">
      <c r="A112" s="282" t="s">
        <v>183</v>
      </c>
      <c r="B112" s="548">
        <v>1</v>
      </c>
      <c r="C112" s="28"/>
      <c r="D112" s="75"/>
      <c r="E112" s="75"/>
      <c r="F112" s="493"/>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row>
    <row r="113" spans="1:29" s="542" customFormat="1" x14ac:dyDescent="0.2">
      <c r="A113" s="282" t="s">
        <v>184</v>
      </c>
      <c r="B113" s="548">
        <v>2</v>
      </c>
      <c r="C113" s="28"/>
      <c r="D113" s="75"/>
      <c r="E113" s="75"/>
      <c r="F113" s="493"/>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row>
    <row r="114" spans="1:29" s="542" customFormat="1" x14ac:dyDescent="0.2">
      <c r="A114" s="282" t="s">
        <v>185</v>
      </c>
      <c r="B114" s="548">
        <v>3</v>
      </c>
      <c r="C114" s="28"/>
      <c r="D114" s="75"/>
      <c r="E114" s="75"/>
      <c r="F114" s="493"/>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row>
    <row r="115" spans="1:29" s="542" customFormat="1" x14ac:dyDescent="0.2">
      <c r="A115" s="282" t="s">
        <v>186</v>
      </c>
      <c r="B115" s="548">
        <v>7</v>
      </c>
      <c r="C115" s="28"/>
      <c r="D115" s="75"/>
      <c r="E115" s="75"/>
      <c r="F115" s="493"/>
      <c r="G115" s="28"/>
      <c r="H115" s="28"/>
      <c r="I115" s="28"/>
      <c r="J115" s="28"/>
      <c r="K115" s="28"/>
      <c r="L115" s="28"/>
      <c r="M115" s="28"/>
      <c r="N115" s="28"/>
      <c r="O115" s="28"/>
      <c r="P115" s="28"/>
      <c r="R115" s="28"/>
      <c r="S115" s="28"/>
      <c r="T115" s="28"/>
      <c r="U115" s="28"/>
      <c r="V115" s="28"/>
      <c r="W115" s="28"/>
      <c r="X115" s="28"/>
      <c r="Y115" s="28"/>
      <c r="Z115" s="28"/>
      <c r="AA115" s="28"/>
      <c r="AB115" s="28"/>
      <c r="AC115" s="28"/>
    </row>
    <row r="116" spans="1:29" s="542" customFormat="1" x14ac:dyDescent="0.2">
      <c r="A116" s="282" t="s">
        <v>187</v>
      </c>
      <c r="B116" s="548">
        <v>18</v>
      </c>
      <c r="C116" s="28"/>
      <c r="D116" s="75"/>
      <c r="E116" s="75"/>
      <c r="F116" s="493"/>
      <c r="G116" s="28"/>
      <c r="H116" s="28"/>
      <c r="I116" s="28"/>
      <c r="J116" s="28"/>
      <c r="K116" s="28"/>
      <c r="L116" s="28"/>
      <c r="M116" s="28"/>
      <c r="N116" s="28"/>
      <c r="O116" s="28"/>
      <c r="P116" s="28"/>
      <c r="R116" s="28"/>
      <c r="S116" s="28"/>
      <c r="T116" s="28"/>
      <c r="U116" s="28"/>
      <c r="V116" s="28"/>
      <c r="W116" s="28"/>
      <c r="X116" s="28"/>
      <c r="Y116" s="28"/>
      <c r="Z116" s="28"/>
      <c r="AA116" s="28"/>
      <c r="AB116" s="28"/>
      <c r="AC116" s="28"/>
    </row>
    <row r="117" spans="1:29" s="542" customFormat="1" x14ac:dyDescent="0.2">
      <c r="A117" s="282" t="s">
        <v>188</v>
      </c>
      <c r="B117" s="548">
        <v>1</v>
      </c>
      <c r="C117" s="28"/>
      <c r="D117" s="75"/>
      <c r="E117" s="75"/>
      <c r="F117" s="493"/>
      <c r="G117" s="28"/>
      <c r="H117" s="28"/>
      <c r="I117" s="28"/>
      <c r="J117" s="28"/>
      <c r="K117" s="28"/>
      <c r="L117" s="28"/>
      <c r="M117" s="28"/>
      <c r="N117" s="28"/>
      <c r="O117" s="72"/>
      <c r="P117" s="28"/>
      <c r="R117" s="28"/>
      <c r="S117" s="28"/>
      <c r="T117" s="28"/>
      <c r="U117" s="28"/>
      <c r="V117" s="28"/>
      <c r="W117" s="28"/>
      <c r="X117" s="28"/>
      <c r="Y117" s="28"/>
      <c r="Z117" s="28"/>
      <c r="AA117" s="28"/>
      <c r="AB117" s="28"/>
      <c r="AC117" s="28"/>
    </row>
    <row r="118" spans="1:29" s="542" customFormat="1" x14ac:dyDescent="0.2">
      <c r="A118" s="282" t="s">
        <v>189</v>
      </c>
      <c r="B118" s="548">
        <v>2</v>
      </c>
      <c r="C118" s="28"/>
      <c r="D118" s="75"/>
      <c r="E118" s="75"/>
      <c r="F118" s="493"/>
      <c r="G118" s="28"/>
      <c r="H118" s="28"/>
      <c r="I118" s="28"/>
      <c r="J118" s="28"/>
      <c r="K118" s="28"/>
      <c r="L118" s="28"/>
      <c r="M118" s="28"/>
      <c r="N118" s="28"/>
      <c r="O118" s="72"/>
      <c r="P118" s="28"/>
      <c r="R118" s="28"/>
      <c r="S118" s="28"/>
      <c r="T118" s="28"/>
      <c r="U118" s="28"/>
      <c r="V118" s="28"/>
      <c r="W118" s="28"/>
      <c r="X118" s="28"/>
      <c r="Y118" s="28"/>
      <c r="Z118" s="28"/>
      <c r="AA118" s="28"/>
      <c r="AB118" s="28"/>
      <c r="AC118" s="28"/>
    </row>
    <row r="119" spans="1:29" s="542" customFormat="1" x14ac:dyDescent="0.2">
      <c r="A119" s="282" t="s">
        <v>190</v>
      </c>
      <c r="B119" s="548">
        <v>2</v>
      </c>
      <c r="C119" s="28"/>
      <c r="D119" s="75"/>
      <c r="E119" s="75"/>
      <c r="F119" s="493"/>
      <c r="G119" s="28"/>
      <c r="I119" s="28"/>
      <c r="J119" s="28"/>
      <c r="K119" s="28"/>
      <c r="L119" s="28"/>
      <c r="M119" s="28"/>
      <c r="N119" s="28"/>
      <c r="O119" s="28"/>
      <c r="P119" s="28"/>
      <c r="Q119" s="28"/>
      <c r="R119" s="28"/>
      <c r="S119" s="28"/>
      <c r="T119" s="28"/>
      <c r="U119" s="28"/>
      <c r="V119" s="28"/>
      <c r="W119" s="28"/>
      <c r="X119" s="28"/>
      <c r="Y119" s="28"/>
      <c r="Z119" s="28"/>
      <c r="AA119" s="28"/>
      <c r="AB119" s="28"/>
      <c r="AC119" s="28"/>
    </row>
    <row r="120" spans="1:29" s="542" customFormat="1" x14ac:dyDescent="0.2">
      <c r="A120" s="282" t="s">
        <v>191</v>
      </c>
      <c r="B120" s="548">
        <v>4</v>
      </c>
      <c r="C120" s="28"/>
      <c r="D120" s="75"/>
      <c r="E120" s="75"/>
      <c r="F120" s="493"/>
      <c r="G120" s="28"/>
      <c r="I120" s="28"/>
      <c r="J120" s="28"/>
      <c r="K120" s="28"/>
      <c r="L120" s="28"/>
      <c r="M120" s="28"/>
      <c r="N120" s="28"/>
      <c r="O120" s="28"/>
      <c r="P120" s="28"/>
      <c r="Q120" s="28"/>
      <c r="R120" s="28"/>
      <c r="S120" s="28"/>
      <c r="T120" s="28"/>
      <c r="U120" s="28"/>
      <c r="V120" s="28"/>
      <c r="W120" s="28"/>
      <c r="X120" s="28"/>
      <c r="Y120" s="28"/>
      <c r="Z120" s="28"/>
      <c r="AA120" s="28"/>
      <c r="AB120" s="28"/>
      <c r="AC120" s="28"/>
    </row>
    <row r="121" spans="1:29" s="542" customFormat="1" x14ac:dyDescent="0.2">
      <c r="A121" s="282" t="s">
        <v>192</v>
      </c>
      <c r="B121" s="548" t="s">
        <v>193</v>
      </c>
      <c r="C121" s="28"/>
      <c r="D121" s="75"/>
      <c r="E121" s="75"/>
      <c r="F121" s="493"/>
      <c r="G121" s="28"/>
      <c r="I121" s="28"/>
      <c r="J121" s="28"/>
      <c r="K121" s="28"/>
      <c r="L121" s="28"/>
      <c r="M121" s="28"/>
      <c r="N121" s="28"/>
      <c r="O121" s="28"/>
      <c r="P121" s="28"/>
      <c r="Q121" s="28"/>
      <c r="R121" s="28"/>
      <c r="S121" s="28"/>
      <c r="T121" s="28"/>
      <c r="U121" s="28"/>
      <c r="V121" s="28"/>
      <c r="W121" s="28"/>
      <c r="X121" s="28"/>
      <c r="Y121" s="28"/>
      <c r="Z121" s="28"/>
      <c r="AA121" s="28"/>
      <c r="AB121" s="28"/>
      <c r="AC121" s="28"/>
    </row>
    <row r="122" spans="1:29" s="542" customFormat="1" x14ac:dyDescent="0.2">
      <c r="A122" s="282" t="s">
        <v>194</v>
      </c>
      <c r="B122" s="548" t="s">
        <v>193</v>
      </c>
      <c r="C122" s="28"/>
      <c r="D122" s="75"/>
      <c r="E122" s="75"/>
      <c r="F122" s="493"/>
      <c r="G122" s="28"/>
      <c r="I122" s="28"/>
      <c r="J122" s="28"/>
      <c r="K122" s="28"/>
      <c r="L122" s="28"/>
      <c r="M122" s="28"/>
      <c r="N122" s="28"/>
      <c r="O122" s="28"/>
      <c r="P122" s="28"/>
      <c r="Q122" s="28"/>
      <c r="R122" s="28"/>
      <c r="S122" s="28"/>
      <c r="T122" s="28"/>
      <c r="U122" s="28"/>
      <c r="V122" s="28"/>
      <c r="W122" s="28"/>
      <c r="X122" s="28"/>
      <c r="Y122" s="28"/>
      <c r="Z122" s="28"/>
      <c r="AA122" s="28"/>
      <c r="AB122" s="28"/>
      <c r="AC122" s="28"/>
    </row>
    <row r="123" spans="1:29" s="542" customFormat="1" x14ac:dyDescent="0.2">
      <c r="A123" s="282" t="s">
        <v>195</v>
      </c>
      <c r="B123" s="548" t="s">
        <v>193</v>
      </c>
      <c r="C123" s="28"/>
      <c r="D123" s="75"/>
      <c r="E123" s="75"/>
      <c r="F123" s="28"/>
      <c r="G123" s="28"/>
      <c r="I123" s="28"/>
      <c r="J123" s="28"/>
      <c r="K123" s="28"/>
      <c r="L123" s="28"/>
      <c r="M123" s="28"/>
      <c r="N123" s="28"/>
      <c r="O123" s="28"/>
      <c r="P123" s="28"/>
      <c r="Q123" s="28"/>
      <c r="R123" s="28"/>
      <c r="S123" s="28"/>
      <c r="T123" s="28"/>
      <c r="U123" s="28"/>
      <c r="V123" s="28"/>
      <c r="W123" s="28"/>
      <c r="X123" s="28"/>
      <c r="Y123" s="28"/>
      <c r="Z123" s="28"/>
      <c r="AA123" s="28"/>
      <c r="AB123" s="28"/>
      <c r="AC123" s="28"/>
    </row>
    <row r="124" spans="1:29" s="542" customFormat="1" x14ac:dyDescent="0.2">
      <c r="A124" s="282" t="s">
        <v>196</v>
      </c>
      <c r="B124" s="548" t="s">
        <v>193</v>
      </c>
      <c r="C124" s="28"/>
      <c r="D124" s="75"/>
      <c r="E124" s="75"/>
      <c r="M124" s="493"/>
      <c r="N124" s="28"/>
      <c r="P124" s="28"/>
      <c r="Q124" s="28"/>
      <c r="R124" s="28"/>
      <c r="S124" s="28"/>
      <c r="T124" s="28"/>
      <c r="U124" s="28"/>
      <c r="V124" s="28"/>
      <c r="W124" s="28"/>
      <c r="X124" s="28"/>
      <c r="Y124" s="28"/>
      <c r="Z124" s="28"/>
      <c r="AA124" s="28"/>
      <c r="AB124" s="28"/>
      <c r="AC124" s="28"/>
    </row>
    <row r="125" spans="1:29" s="542" customFormat="1" x14ac:dyDescent="0.2">
      <c r="A125" s="282" t="s">
        <v>197</v>
      </c>
      <c r="B125" s="548" t="s">
        <v>193</v>
      </c>
      <c r="C125" s="28"/>
      <c r="D125" s="75"/>
      <c r="E125" s="75"/>
      <c r="M125" s="28"/>
      <c r="N125" s="28"/>
      <c r="P125" s="28"/>
      <c r="Q125" s="28"/>
      <c r="R125" s="28"/>
      <c r="S125" s="28"/>
      <c r="T125" s="28"/>
      <c r="U125" s="28"/>
      <c r="V125" s="28"/>
      <c r="W125" s="28"/>
      <c r="X125" s="28"/>
      <c r="Y125" s="28"/>
      <c r="Z125" s="28"/>
      <c r="AA125" s="28"/>
      <c r="AB125" s="28"/>
      <c r="AC125" s="28"/>
    </row>
    <row r="126" spans="1:29" s="542" customFormat="1" x14ac:dyDescent="0.2">
      <c r="A126" s="282" t="s">
        <v>198</v>
      </c>
      <c r="B126" s="548">
        <v>2</v>
      </c>
      <c r="C126" s="28"/>
      <c r="D126" s="75"/>
      <c r="E126" s="75"/>
      <c r="F126" s="28"/>
      <c r="G126" s="28"/>
      <c r="I126" s="28"/>
      <c r="J126" s="28"/>
      <c r="K126" s="28"/>
      <c r="L126" s="28"/>
      <c r="M126" s="28"/>
      <c r="N126" s="28"/>
      <c r="O126" s="28"/>
      <c r="P126" s="28"/>
      <c r="Q126" s="28"/>
      <c r="R126" s="28"/>
      <c r="S126" s="28"/>
      <c r="T126" s="28"/>
      <c r="U126" s="28"/>
      <c r="V126" s="28"/>
      <c r="W126" s="28"/>
      <c r="X126" s="28"/>
      <c r="Y126" s="28"/>
      <c r="Z126" s="28"/>
      <c r="AA126" s="28"/>
      <c r="AB126" s="28"/>
      <c r="AC126" s="28"/>
    </row>
    <row r="127" spans="1:29" s="542" customFormat="1" x14ac:dyDescent="0.2">
      <c r="A127" s="282" t="s">
        <v>199</v>
      </c>
      <c r="B127" s="548">
        <v>18</v>
      </c>
      <c r="C127" s="28"/>
      <c r="D127" s="75"/>
      <c r="E127" s="75"/>
      <c r="F127" s="28"/>
      <c r="G127" s="28"/>
      <c r="I127" s="28"/>
      <c r="J127" s="28"/>
      <c r="K127" s="28"/>
      <c r="L127" s="28"/>
      <c r="M127" s="28"/>
      <c r="N127" s="28"/>
      <c r="O127" s="28"/>
      <c r="P127" s="28"/>
      <c r="Q127" s="28"/>
      <c r="R127" s="28"/>
      <c r="S127" s="28"/>
      <c r="T127" s="28"/>
      <c r="U127" s="28"/>
      <c r="V127" s="28"/>
      <c r="W127" s="28"/>
      <c r="X127" s="28"/>
      <c r="Y127" s="28"/>
      <c r="Z127" s="28"/>
      <c r="AA127" s="28"/>
      <c r="AB127" s="28"/>
      <c r="AC127" s="28"/>
    </row>
    <row r="128" spans="1:29" s="542" customFormat="1" x14ac:dyDescent="0.2">
      <c r="A128" s="282" t="s">
        <v>200</v>
      </c>
      <c r="B128" s="548">
        <v>18</v>
      </c>
      <c r="C128" s="28"/>
      <c r="D128" s="75"/>
      <c r="E128" s="75"/>
      <c r="F128" s="28"/>
      <c r="G128" s="28"/>
      <c r="I128" s="28"/>
      <c r="J128" s="28"/>
      <c r="K128" s="28"/>
      <c r="L128" s="28"/>
      <c r="M128" s="28"/>
      <c r="N128" s="28"/>
      <c r="O128" s="28"/>
      <c r="P128" s="28"/>
      <c r="Q128" s="28"/>
      <c r="R128" s="28"/>
      <c r="S128" s="28"/>
      <c r="T128" s="28"/>
      <c r="U128" s="28"/>
      <c r="V128" s="28"/>
      <c r="W128" s="28"/>
      <c r="X128" s="28"/>
      <c r="Y128" s="28"/>
      <c r="Z128" s="28"/>
      <c r="AA128" s="28"/>
      <c r="AB128" s="28"/>
      <c r="AC128" s="28"/>
    </row>
    <row r="129" spans="1:29" s="542" customFormat="1" x14ac:dyDescent="0.2">
      <c r="A129" s="282" t="s">
        <v>201</v>
      </c>
      <c r="B129" s="548">
        <v>3</v>
      </c>
      <c r="C129" s="28"/>
      <c r="D129" s="75"/>
      <c r="E129" s="75"/>
      <c r="F129" s="28"/>
      <c r="G129" s="28"/>
      <c r="I129" s="28"/>
      <c r="J129" s="28"/>
      <c r="K129" s="28"/>
      <c r="L129" s="28"/>
      <c r="M129" s="28"/>
      <c r="N129" s="28"/>
      <c r="O129" s="28"/>
      <c r="P129" s="28"/>
      <c r="Q129" s="28"/>
      <c r="R129" s="28"/>
      <c r="S129" s="28"/>
      <c r="T129" s="28"/>
      <c r="U129" s="28"/>
      <c r="V129" s="28"/>
      <c r="W129" s="28"/>
      <c r="X129" s="28"/>
      <c r="Y129" s="28"/>
      <c r="Z129" s="28"/>
      <c r="AA129" s="28"/>
      <c r="AB129" s="28"/>
      <c r="AC129" s="28"/>
    </row>
    <row r="130" spans="1:29" s="542" customFormat="1" x14ac:dyDescent="0.2">
      <c r="A130" s="282" t="s">
        <v>202</v>
      </c>
      <c r="B130" s="548">
        <v>7</v>
      </c>
      <c r="C130" s="28"/>
      <c r="D130" s="75"/>
      <c r="E130" s="75"/>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row>
    <row r="131" spans="1:29" s="542" customFormat="1" x14ac:dyDescent="0.2">
      <c r="A131" s="282" t="s">
        <v>203</v>
      </c>
      <c r="B131" s="548">
        <v>18</v>
      </c>
      <c r="C131" s="28"/>
      <c r="D131" s="75"/>
      <c r="E131" s="75"/>
      <c r="F131" s="28"/>
      <c r="G131" s="28"/>
      <c r="H131" s="28"/>
      <c r="I131" s="28"/>
      <c r="J131" s="28"/>
      <c r="K131" s="28"/>
      <c r="L131" s="28"/>
      <c r="M131" s="28"/>
      <c r="N131" s="28"/>
      <c r="O131" s="72"/>
      <c r="P131" s="28"/>
      <c r="Q131" s="28"/>
      <c r="R131" s="28"/>
      <c r="S131" s="28"/>
      <c r="T131" s="28"/>
      <c r="U131" s="28"/>
      <c r="V131" s="28"/>
      <c r="W131" s="28"/>
      <c r="X131" s="28"/>
      <c r="Y131" s="28"/>
      <c r="Z131" s="28"/>
      <c r="AA131" s="28"/>
      <c r="AB131" s="28"/>
      <c r="AC131" s="28"/>
    </row>
    <row r="132" spans="1:29" s="542" customFormat="1" x14ac:dyDescent="0.2">
      <c r="A132" s="282" t="s">
        <v>204</v>
      </c>
      <c r="B132" s="548">
        <v>2</v>
      </c>
      <c r="C132" s="28"/>
      <c r="D132" s="75"/>
      <c r="E132" s="75"/>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row>
    <row r="133" spans="1:29" s="542" customFormat="1" x14ac:dyDescent="0.2">
      <c r="A133" s="282" t="s">
        <v>205</v>
      </c>
      <c r="B133" s="548" t="s">
        <v>193</v>
      </c>
      <c r="C133" s="28"/>
      <c r="D133" s="75"/>
      <c r="E133" s="75"/>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row>
    <row r="134" spans="1:29" s="542" customFormat="1" x14ac:dyDescent="0.2">
      <c r="A134" s="282" t="s">
        <v>206</v>
      </c>
      <c r="B134" s="548" t="s">
        <v>193</v>
      </c>
      <c r="C134" s="28"/>
      <c r="D134" s="75"/>
      <c r="E134" s="75"/>
      <c r="F134" s="28"/>
      <c r="G134" s="28"/>
      <c r="H134" s="28"/>
      <c r="I134" s="28"/>
      <c r="J134" s="28"/>
      <c r="K134" s="28"/>
      <c r="L134" s="28"/>
      <c r="M134" s="28"/>
      <c r="N134" s="28"/>
      <c r="O134" s="478"/>
      <c r="P134" s="28"/>
      <c r="Q134" s="28"/>
      <c r="R134" s="28"/>
      <c r="S134" s="28"/>
      <c r="T134" s="28"/>
      <c r="U134" s="28"/>
      <c r="V134" s="28"/>
      <c r="W134" s="28"/>
      <c r="X134" s="28"/>
      <c r="Y134" s="28"/>
      <c r="Z134" s="28"/>
      <c r="AA134" s="28"/>
      <c r="AB134" s="28"/>
      <c r="AC134" s="28"/>
    </row>
    <row r="135" spans="1:29" s="542" customFormat="1" x14ac:dyDescent="0.2">
      <c r="A135" s="282" t="s">
        <v>207</v>
      </c>
      <c r="B135" s="548" t="s">
        <v>193</v>
      </c>
      <c r="C135" s="28"/>
      <c r="D135" s="75"/>
      <c r="E135" s="75"/>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row>
    <row r="136" spans="1:29" s="542" customFormat="1" x14ac:dyDescent="0.2">
      <c r="A136" s="282" t="s">
        <v>208</v>
      </c>
      <c r="B136" s="548" t="s">
        <v>193</v>
      </c>
      <c r="C136" s="28"/>
      <c r="D136" s="75"/>
      <c r="E136" s="75"/>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row>
    <row r="137" spans="1:29" s="542" customFormat="1" x14ac:dyDescent="0.2">
      <c r="A137" s="282" t="s">
        <v>209</v>
      </c>
      <c r="B137" s="548">
        <v>2</v>
      </c>
      <c r="C137" s="28"/>
      <c r="D137" s="75"/>
      <c r="E137" s="75"/>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row>
    <row r="138" spans="1:29" s="542" customFormat="1" x14ac:dyDescent="0.2">
      <c r="A138" s="282" t="s">
        <v>210</v>
      </c>
      <c r="B138" s="548">
        <v>14</v>
      </c>
      <c r="C138" s="28"/>
      <c r="D138" s="75"/>
      <c r="E138" s="75"/>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row>
    <row r="139" spans="1:29" s="542" customFormat="1" x14ac:dyDescent="0.2">
      <c r="A139" s="282" t="s">
        <v>211</v>
      </c>
      <c r="B139" s="548">
        <v>1</v>
      </c>
      <c r="C139" s="28"/>
      <c r="D139" s="75"/>
      <c r="E139" s="75"/>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row>
    <row r="140" spans="1:29" s="542" customFormat="1" x14ac:dyDescent="0.2">
      <c r="A140" s="282" t="s">
        <v>212</v>
      </c>
      <c r="B140" s="548" t="s">
        <v>193</v>
      </c>
      <c r="C140" s="28"/>
      <c r="D140" s="75"/>
      <c r="E140" s="75"/>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row>
    <row r="141" spans="1:29" s="542" customFormat="1" ht="12.75" thickBot="1" x14ac:dyDescent="0.25">
      <c r="A141" s="436" t="s">
        <v>213</v>
      </c>
      <c r="B141" s="549">
        <v>7</v>
      </c>
      <c r="C141" s="28"/>
      <c r="D141" s="75"/>
      <c r="E141" s="75"/>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row>
    <row r="142" spans="1:29" s="542" customFormat="1" ht="12.75" thickBot="1"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row>
    <row r="143" spans="1:29" s="478" customFormat="1" ht="13.5" thickBot="1" x14ac:dyDescent="0.25">
      <c r="A143" s="738" t="s">
        <v>214</v>
      </c>
      <c r="B143" s="739"/>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row>
    <row r="144" spans="1:29" x14ac:dyDescent="0.2">
      <c r="A144" s="126" t="s">
        <v>215</v>
      </c>
      <c r="B144" s="127" t="s">
        <v>216</v>
      </c>
      <c r="C144" s="127" t="s">
        <v>216</v>
      </c>
      <c r="D144" s="127" t="s">
        <v>216</v>
      </c>
      <c r="E144" s="127" t="s">
        <v>216</v>
      </c>
      <c r="F144" s="127" t="s">
        <v>216</v>
      </c>
      <c r="G144" s="127" t="s">
        <v>216</v>
      </c>
      <c r="H144" s="127" t="s">
        <v>216</v>
      </c>
      <c r="I144" s="127" t="s">
        <v>216</v>
      </c>
      <c r="J144" s="127"/>
      <c r="K144" s="127"/>
      <c r="L144" s="127"/>
      <c r="M144" s="127"/>
      <c r="N144" s="127" t="s">
        <v>216</v>
      </c>
      <c r="O144" s="127" t="s">
        <v>216</v>
      </c>
      <c r="P144" s="127"/>
      <c r="Q144" s="127" t="s">
        <v>216</v>
      </c>
      <c r="R144" s="127"/>
      <c r="S144" s="127"/>
      <c r="T144" s="127"/>
      <c r="U144" s="127"/>
      <c r="V144" s="127"/>
      <c r="W144" s="127"/>
      <c r="X144" s="127" t="s">
        <v>216</v>
      </c>
      <c r="Y144" s="127" t="s">
        <v>216</v>
      </c>
      <c r="Z144" s="127" t="s">
        <v>216</v>
      </c>
      <c r="AA144" s="127" t="s">
        <v>216</v>
      </c>
      <c r="AB144" s="127" t="s">
        <v>216</v>
      </c>
      <c r="AC144" s="130" t="s">
        <v>216</v>
      </c>
    </row>
    <row r="145" spans="1:36" s="105" customFormat="1" ht="12.75" thickBot="1" x14ac:dyDescent="0.25">
      <c r="A145" s="128" t="s">
        <v>217</v>
      </c>
      <c r="B145" s="129"/>
      <c r="C145" s="129"/>
      <c r="D145" s="129"/>
      <c r="E145" s="129"/>
      <c r="F145" s="129"/>
      <c r="G145" s="129"/>
      <c r="H145" s="129"/>
      <c r="I145" s="129"/>
      <c r="J145" s="129" t="s">
        <v>218</v>
      </c>
      <c r="K145" s="129" t="s">
        <v>216</v>
      </c>
      <c r="L145" s="129" t="s">
        <v>216</v>
      </c>
      <c r="M145" s="129" t="s">
        <v>216</v>
      </c>
      <c r="N145" s="129"/>
      <c r="O145" s="129"/>
      <c r="P145" s="129" t="s">
        <v>216</v>
      </c>
      <c r="Q145" s="129"/>
      <c r="R145" s="129" t="s">
        <v>216</v>
      </c>
      <c r="S145" s="129" t="s">
        <v>216</v>
      </c>
      <c r="T145" s="129" t="s">
        <v>216</v>
      </c>
      <c r="U145" s="129" t="s">
        <v>216</v>
      </c>
      <c r="V145" s="129" t="s">
        <v>216</v>
      </c>
      <c r="W145" s="129" t="s">
        <v>216</v>
      </c>
      <c r="X145" s="129"/>
      <c r="Y145" s="129"/>
      <c r="Z145" s="129"/>
      <c r="AA145" s="129"/>
      <c r="AB145" s="129"/>
      <c r="AC145" s="131"/>
      <c r="AI145" s="550"/>
      <c r="AJ145" s="550"/>
    </row>
    <row r="146" spans="1:36" s="105" customFormat="1" ht="12.75" thickBot="1"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row>
    <row r="147" spans="1:36" s="105" customFormat="1" ht="13.5" thickBot="1" x14ac:dyDescent="0.25">
      <c r="A147" s="551" t="s">
        <v>219</v>
      </c>
      <c r="B147" s="740" t="s">
        <v>220</v>
      </c>
      <c r="C147" s="741"/>
      <c r="D147" s="742" t="s">
        <v>221</v>
      </c>
      <c r="E147" s="743"/>
      <c r="F147" s="744" t="s">
        <v>222</v>
      </c>
      <c r="G147" s="745"/>
      <c r="H147" s="28"/>
      <c r="I147" s="552" t="s">
        <v>223</v>
      </c>
      <c r="J147" s="28"/>
      <c r="K147" s="28"/>
      <c r="L147" s="28"/>
      <c r="M147" s="28"/>
      <c r="N147" s="28"/>
      <c r="O147" s="28"/>
      <c r="P147" s="28"/>
      <c r="Q147" s="28"/>
      <c r="R147" s="28"/>
      <c r="S147" s="28"/>
      <c r="T147" s="28"/>
      <c r="U147" s="28"/>
      <c r="V147" s="28"/>
      <c r="W147" s="28"/>
      <c r="X147" s="28"/>
      <c r="Y147" s="28"/>
      <c r="Z147" s="28"/>
      <c r="AA147" s="28"/>
      <c r="AB147" s="28"/>
      <c r="AC147" s="28"/>
    </row>
    <row r="148" spans="1:36" ht="13.5" thickBot="1" x14ac:dyDescent="0.25">
      <c r="A148" s="553" t="s">
        <v>224</v>
      </c>
      <c r="B148" s="297"/>
      <c r="C148" s="297"/>
      <c r="D148" s="297"/>
      <c r="E148" s="297"/>
      <c r="F148" s="297"/>
      <c r="G148" s="298"/>
      <c r="I148" s="554" t="s">
        <v>62</v>
      </c>
    </row>
    <row r="149" spans="1:36" x14ac:dyDescent="0.2">
      <c r="A149" s="555" t="s">
        <v>225</v>
      </c>
      <c r="B149" s="233">
        <f>MAX(B35:AC35)</f>
        <v>5</v>
      </c>
      <c r="C149" s="233"/>
      <c r="D149" s="234">
        <v>4</v>
      </c>
      <c r="E149" s="234">
        <v>3</v>
      </c>
      <c r="F149" s="235">
        <v>2</v>
      </c>
      <c r="G149" s="236">
        <v>0</v>
      </c>
    </row>
    <row r="150" spans="1:36" ht="12.75" thickBot="1" x14ac:dyDescent="0.25">
      <c r="A150" s="555" t="s">
        <v>226</v>
      </c>
      <c r="B150" s="228">
        <f>B149</f>
        <v>5</v>
      </c>
      <c r="C150" s="228">
        <f>ROUNDDOWN(MAX(B36:AC36),0)</f>
        <v>4</v>
      </c>
      <c r="D150" s="230">
        <v>3</v>
      </c>
      <c r="E150" s="230"/>
      <c r="F150" s="231">
        <v>2</v>
      </c>
      <c r="G150" s="232">
        <v>0</v>
      </c>
    </row>
    <row r="151" spans="1:36" ht="12.75" thickBot="1" x14ac:dyDescent="0.25">
      <c r="A151" s="553" t="str">
        <f t="shared" ref="A151:A172" si="71">A38</f>
        <v>Integrated Mission Systems</v>
      </c>
      <c r="B151" s="297"/>
      <c r="C151" s="297"/>
      <c r="D151" s="297"/>
      <c r="E151" s="297"/>
      <c r="F151" s="297"/>
      <c r="G151" s="298"/>
    </row>
    <row r="152" spans="1:36" x14ac:dyDescent="0.2">
      <c r="A152" s="556" t="str">
        <f t="shared" si="71"/>
        <v>Ready MH-60S Cargo Transport Mission Systems (C)</v>
      </c>
      <c r="B152" s="229">
        <f>$B$150</f>
        <v>5</v>
      </c>
      <c r="C152" s="233">
        <f>ROUNDDOWN(MAX(B39:AC39),0)</f>
        <v>2</v>
      </c>
      <c r="D152" s="299">
        <v>1</v>
      </c>
      <c r="E152" s="299">
        <v>1</v>
      </c>
      <c r="F152" s="300">
        <v>0</v>
      </c>
      <c r="G152" s="301">
        <v>0</v>
      </c>
    </row>
    <row r="153" spans="1:36" x14ac:dyDescent="0.2">
      <c r="A153" s="555" t="str">
        <f t="shared" si="71"/>
        <v>Ready MH-60S Airborne Mine Counter Measures (AMCM) Mission Systems (D)</v>
      </c>
      <c r="B153" s="224" t="s">
        <v>227</v>
      </c>
      <c r="C153" s="224"/>
      <c r="D153" s="225"/>
      <c r="E153" s="225"/>
      <c r="F153" s="226"/>
      <c r="G153" s="227"/>
    </row>
    <row r="154" spans="1:36" x14ac:dyDescent="0.2">
      <c r="A154" s="555" t="str">
        <f t="shared" si="71"/>
        <v>Ready MH-60S Active/Passive Countermeasures Mission Systems (E)</v>
      </c>
      <c r="B154" s="224">
        <f>$B$150</f>
        <v>5</v>
      </c>
      <c r="C154" s="224">
        <f>ROUNDDOWN(MAX(B41:AC41),0)</f>
        <v>3</v>
      </c>
      <c r="D154" s="225">
        <v>2</v>
      </c>
      <c r="E154" s="225">
        <v>2</v>
      </c>
      <c r="F154" s="226">
        <v>1</v>
      </c>
      <c r="G154" s="227">
        <v>0</v>
      </c>
    </row>
    <row r="155" spans="1:36" x14ac:dyDescent="0.2">
      <c r="A155" s="555" t="str">
        <f t="shared" si="71"/>
        <v>Ready MH-60S CSAR, SUW, and Spec Warfare Mission Systems (F)</v>
      </c>
      <c r="B155" s="224">
        <f>$B$150</f>
        <v>5</v>
      </c>
      <c r="C155" s="224">
        <f>ROUNDDOWN(MAX(B42:AC42),0)</f>
        <v>3</v>
      </c>
      <c r="D155" s="225">
        <v>2</v>
      </c>
      <c r="E155" s="225">
        <v>2</v>
      </c>
      <c r="F155" s="226">
        <v>1</v>
      </c>
      <c r="G155" s="227">
        <v>0</v>
      </c>
    </row>
    <row r="156" spans="1:36" x14ac:dyDescent="0.2">
      <c r="A156" s="555" t="str">
        <f t="shared" si="71"/>
        <v>Ready MH-60S Personnel Transport Mission Systems (G)</v>
      </c>
      <c r="B156" s="228">
        <f>$B$150</f>
        <v>5</v>
      </c>
      <c r="C156" s="224">
        <f>ROUNDDOWN(MAX(B43:AC43),0)</f>
        <v>2</v>
      </c>
      <c r="D156" s="225">
        <v>1</v>
      </c>
      <c r="E156" s="225">
        <v>1</v>
      </c>
      <c r="F156" s="226">
        <v>0</v>
      </c>
      <c r="G156" s="232">
        <v>0</v>
      </c>
    </row>
    <row r="157" spans="1:36" x14ac:dyDescent="0.2">
      <c r="A157" s="555" t="str">
        <f t="shared" si="71"/>
        <v>Ready MH-60S SAR\MEDIVAC Mission Systems (H)</v>
      </c>
      <c r="B157" s="228">
        <f>$B$150</f>
        <v>5</v>
      </c>
      <c r="C157" s="224">
        <f>ROUNDDOWN(MAX(B44:AC44),0)</f>
        <v>2</v>
      </c>
      <c r="D157" s="225">
        <v>1</v>
      </c>
      <c r="E157" s="225">
        <v>1</v>
      </c>
      <c r="F157" s="226">
        <v>0</v>
      </c>
      <c r="G157" s="232">
        <v>0</v>
      </c>
    </row>
    <row r="158" spans="1:36" x14ac:dyDescent="0.2">
      <c r="A158" s="555" t="str">
        <f t="shared" si="71"/>
        <v>Ready MH-60S Mission Support Systems (I)</v>
      </c>
      <c r="B158" s="224" t="s">
        <v>227</v>
      </c>
      <c r="C158" s="224"/>
      <c r="D158" s="225"/>
      <c r="E158" s="225"/>
      <c r="F158" s="226"/>
      <c r="G158" s="232"/>
    </row>
    <row r="159" spans="1:36" x14ac:dyDescent="0.2">
      <c r="A159" s="555" t="str">
        <f t="shared" si="71"/>
        <v>Ready MH-60S Fixed Forward Firing Systems (J)</v>
      </c>
      <c r="B159" s="228">
        <f>$B$150</f>
        <v>5</v>
      </c>
      <c r="C159" s="224">
        <f>ROUNDDOWN(MAX(B46:AC46),0)</f>
        <v>3</v>
      </c>
      <c r="D159" s="225">
        <v>2</v>
      </c>
      <c r="E159" s="225">
        <v>2</v>
      </c>
      <c r="F159" s="226">
        <v>1</v>
      </c>
      <c r="G159" s="232">
        <v>0</v>
      </c>
    </row>
    <row r="160" spans="1:36" x14ac:dyDescent="0.2">
      <c r="A160" s="555" t="str">
        <f t="shared" si="71"/>
        <v>Ready MH-60S Shipboard Mission Systems (K)</v>
      </c>
      <c r="B160" s="224">
        <f>$B$150</f>
        <v>5</v>
      </c>
      <c r="C160" s="224">
        <f>ROUNDDOWN(MAX(B47:AC47),0)</f>
        <v>4</v>
      </c>
      <c r="D160" s="225">
        <v>3</v>
      </c>
      <c r="E160" s="225">
        <v>3</v>
      </c>
      <c r="F160" s="226">
        <v>2</v>
      </c>
      <c r="G160" s="227">
        <v>0</v>
      </c>
    </row>
    <row r="161" spans="1:7" ht="12.75" thickBot="1" x14ac:dyDescent="0.25">
      <c r="A161" s="555" t="str">
        <f t="shared" si="71"/>
        <v>Ready MH-60S IMC Flight Mission Systems (L)</v>
      </c>
      <c r="B161" s="224">
        <f>$B$150</f>
        <v>5</v>
      </c>
      <c r="C161" s="224">
        <v>4</v>
      </c>
      <c r="D161" s="225">
        <v>3</v>
      </c>
      <c r="E161" s="225">
        <v>3</v>
      </c>
      <c r="F161" s="226">
        <v>2</v>
      </c>
      <c r="G161" s="227">
        <v>0</v>
      </c>
    </row>
    <row r="162" spans="1:7" ht="12.75" thickBot="1" x14ac:dyDescent="0.25">
      <c r="A162" s="553" t="str">
        <f t="shared" si="71"/>
        <v>Non-Integrated Mission Systems</v>
      </c>
      <c r="B162" s="297"/>
      <c r="C162" s="297"/>
      <c r="D162" s="297"/>
      <c r="E162" s="297"/>
      <c r="F162" s="297"/>
      <c r="G162" s="298"/>
    </row>
    <row r="163" spans="1:7" x14ac:dyDescent="0.2">
      <c r="A163" s="557" t="str">
        <f t="shared" si="71"/>
        <v>Assigned M-299 Sets</v>
      </c>
      <c r="B163" s="233">
        <f>MAX(B50:AC50)</f>
        <v>10</v>
      </c>
      <c r="C163" s="224">
        <f>ROUNDDOWN(MAX(B50:AC50),0)</f>
        <v>10</v>
      </c>
      <c r="D163" s="234">
        <v>9</v>
      </c>
      <c r="E163" s="234">
        <v>8</v>
      </c>
      <c r="F163" s="235">
        <v>7</v>
      </c>
      <c r="G163" s="302">
        <v>0</v>
      </c>
    </row>
    <row r="164" spans="1:7" x14ac:dyDescent="0.2">
      <c r="A164" s="558" t="str">
        <f t="shared" si="71"/>
        <v>Ready M-299 Sets</v>
      </c>
      <c r="B164" s="224">
        <f>B163</f>
        <v>10</v>
      </c>
      <c r="C164" s="224">
        <f>ROUNDDOWN(MAX(B51:AC51),0)</f>
        <v>8</v>
      </c>
      <c r="D164" s="225">
        <v>7</v>
      </c>
      <c r="E164" s="225">
        <v>5</v>
      </c>
      <c r="F164" s="226">
        <v>4</v>
      </c>
      <c r="G164" s="295">
        <v>0</v>
      </c>
    </row>
    <row r="165" spans="1:7" x14ac:dyDescent="0.2">
      <c r="A165" s="558" t="str">
        <f t="shared" si="71"/>
        <v>Assigned 20-mm Sets</v>
      </c>
      <c r="B165" s="224">
        <f>MAX(B52:AC52)</f>
        <v>3</v>
      </c>
      <c r="C165" s="224">
        <v>3</v>
      </c>
      <c r="D165" s="225">
        <v>2</v>
      </c>
      <c r="E165" s="225">
        <v>2</v>
      </c>
      <c r="F165" s="226">
        <v>1</v>
      </c>
      <c r="G165" s="295">
        <v>0</v>
      </c>
    </row>
    <row r="166" spans="1:7" x14ac:dyDescent="0.2">
      <c r="A166" s="558" t="str">
        <f t="shared" si="71"/>
        <v>Ready 20-mm Sets</v>
      </c>
      <c r="B166" s="224">
        <f t="shared" ref="B166" si="72">B165</f>
        <v>3</v>
      </c>
      <c r="C166" s="224">
        <v>3</v>
      </c>
      <c r="D166" s="225">
        <v>2</v>
      </c>
      <c r="E166" s="225">
        <v>2</v>
      </c>
      <c r="F166" s="226">
        <v>1</v>
      </c>
      <c r="G166" s="295">
        <v>0</v>
      </c>
    </row>
    <row r="167" spans="1:7" x14ac:dyDescent="0.2">
      <c r="A167" s="558" t="str">
        <f t="shared" si="71"/>
        <v>Assigned GAU-21 Sets</v>
      </c>
      <c r="B167" s="233">
        <f>MAX(B54:AC54)</f>
        <v>10</v>
      </c>
      <c r="C167" s="224">
        <f>ROUNDDOWN(MAX(B54:AC54),0)</f>
        <v>10</v>
      </c>
      <c r="D167" s="234">
        <v>9</v>
      </c>
      <c r="E167" s="234">
        <v>8</v>
      </c>
      <c r="F167" s="235">
        <v>7</v>
      </c>
      <c r="G167" s="302">
        <v>0</v>
      </c>
    </row>
    <row r="168" spans="1:7" x14ac:dyDescent="0.2">
      <c r="A168" s="558" t="str">
        <f t="shared" si="71"/>
        <v>Ready GAU-21 Sets</v>
      </c>
      <c r="B168" s="224">
        <f>B167</f>
        <v>10</v>
      </c>
      <c r="C168" s="224">
        <f>ROUNDDOWN(MAX(B55:AC55),0)</f>
        <v>8</v>
      </c>
      <c r="D168" s="225">
        <v>7</v>
      </c>
      <c r="E168" s="225">
        <v>5</v>
      </c>
      <c r="F168" s="226">
        <v>4</v>
      </c>
      <c r="G168" s="295">
        <v>0</v>
      </c>
    </row>
    <row r="169" spans="1:7" x14ac:dyDescent="0.2">
      <c r="A169" s="558" t="str">
        <f t="shared" si="71"/>
        <v>Assigned M-240 Sets</v>
      </c>
      <c r="B169" s="233">
        <f>MAX(B56:AC56)</f>
        <v>10</v>
      </c>
      <c r="C169" s="224">
        <f>ROUNDDOWN(MAX(B56:AC56),0)</f>
        <v>10</v>
      </c>
      <c r="D169" s="234">
        <v>9</v>
      </c>
      <c r="E169" s="234">
        <v>8</v>
      </c>
      <c r="F169" s="235">
        <v>7</v>
      </c>
      <c r="G169" s="302">
        <v>0</v>
      </c>
    </row>
    <row r="170" spans="1:7" x14ac:dyDescent="0.2">
      <c r="A170" s="558" t="str">
        <f t="shared" si="71"/>
        <v>Ready M-240 Sets</v>
      </c>
      <c r="B170" s="224">
        <f>B169</f>
        <v>10</v>
      </c>
      <c r="C170" s="224">
        <f>ROUNDDOWN(MAX(B57:AC57),0)</f>
        <v>8</v>
      </c>
      <c r="D170" s="225">
        <v>7</v>
      </c>
      <c r="E170" s="225">
        <v>5</v>
      </c>
      <c r="F170" s="226">
        <v>4</v>
      </c>
      <c r="G170" s="295">
        <v>0</v>
      </c>
    </row>
    <row r="171" spans="1:7" x14ac:dyDescent="0.2">
      <c r="A171" s="558" t="str">
        <f t="shared" si="71"/>
        <v>Assigned Full Motion Video Systems</v>
      </c>
      <c r="B171" s="224" t="s">
        <v>227</v>
      </c>
      <c r="C171" s="224"/>
      <c r="D171" s="225"/>
      <c r="E171" s="225"/>
      <c r="F171" s="226"/>
      <c r="G171" s="295"/>
    </row>
    <row r="172" spans="1:7" ht="12.75" thickBot="1" x14ac:dyDescent="0.25">
      <c r="A172" s="559" t="str">
        <f t="shared" si="71"/>
        <v>Ready Full Motion Video Systems</v>
      </c>
      <c r="B172" s="237" t="s">
        <v>227</v>
      </c>
      <c r="C172" s="237"/>
      <c r="D172" s="238"/>
      <c r="E172" s="238"/>
      <c r="F172" s="239"/>
      <c r="G172" s="296"/>
    </row>
    <row r="175" spans="1:7" x14ac:dyDescent="0.2">
      <c r="A175" s="631" t="s">
        <v>228</v>
      </c>
      <c r="B175" s="631" t="s">
        <v>229</v>
      </c>
    </row>
    <row r="176" spans="1:7" x14ac:dyDescent="0.2">
      <c r="A176" s="632" t="s">
        <v>230</v>
      </c>
      <c r="B176" s="670">
        <f>HLOOKUP($B$175,'MH-60S Mission System Summary'!$B$1:$J$12,2,FALSE)</f>
        <v>0.85329397260848727</v>
      </c>
    </row>
    <row r="177" spans="1:2" x14ac:dyDescent="0.2">
      <c r="A177" s="632" t="str">
        <f t="shared" ref="A177:A186" si="73">A39</f>
        <v>Ready MH-60S Cargo Transport Mission Systems (C)</v>
      </c>
      <c r="B177" s="670">
        <f>HLOOKUP($B$175,'MH-60S Mission System Summary'!$B$1:$J$12,3,FALSE)</f>
        <v>0.57500808631648892</v>
      </c>
    </row>
    <row r="178" spans="1:2" x14ac:dyDescent="0.2">
      <c r="A178" s="632" t="str">
        <f t="shared" si="73"/>
        <v>Ready MH-60S Airborne Mine Counter Measures (AMCM) Mission Systems (D)</v>
      </c>
      <c r="B178" s="670">
        <f>HLOOKUP($B$175,'MH-60S Mission System Summary'!$B$1:$J$12,4,FALSE)</f>
        <v>0</v>
      </c>
    </row>
    <row r="179" spans="1:2" x14ac:dyDescent="0.2">
      <c r="A179" s="632" t="str">
        <f t="shared" si="73"/>
        <v>Ready MH-60S Active/Passive Countermeasures Mission Systems (E)</v>
      </c>
      <c r="B179" s="670">
        <f>HLOOKUP($B$175,'MH-60S Mission System Summary'!$B$1:$J$12,5,FALSE)</f>
        <v>0.79800747307366393</v>
      </c>
    </row>
    <row r="180" spans="1:2" x14ac:dyDescent="0.2">
      <c r="A180" s="632" t="str">
        <f t="shared" si="73"/>
        <v>Ready MH-60S CSAR, SUW, and Spec Warfare Mission Systems (F)</v>
      </c>
      <c r="B180" s="670">
        <f>HLOOKUP($B$175,'MH-60S Mission System Summary'!$B$1:$J$12,6,FALSE)</f>
        <v>0.79800747307366393</v>
      </c>
    </row>
    <row r="181" spans="1:2" x14ac:dyDescent="0.2">
      <c r="A181" s="632" t="str">
        <f t="shared" si="73"/>
        <v>Ready MH-60S Personnel Transport Mission Systems (G)</v>
      </c>
      <c r="B181" s="670">
        <f>HLOOKUP($B$175,'MH-60S Mission System Summary'!$B$1:$J$12,7,FALSE)</f>
        <v>0.50565749436885021</v>
      </c>
    </row>
    <row r="182" spans="1:2" x14ac:dyDescent="0.2">
      <c r="A182" s="632" t="str">
        <f t="shared" si="73"/>
        <v>Ready MH-60S SAR\MEDIVAC Mission Systems (H)</v>
      </c>
      <c r="B182" s="670">
        <f>HLOOKUP($B$175,'MH-60S Mission System Summary'!$B$1:$J$12,8,FALSE)</f>
        <v>0.50565749436885021</v>
      </c>
    </row>
    <row r="183" spans="1:2" x14ac:dyDescent="0.2">
      <c r="A183" s="632" t="str">
        <f t="shared" si="73"/>
        <v>Ready MH-60S Mission Support Systems (I)</v>
      </c>
      <c r="B183" s="670">
        <f>HLOOKUP($B$175,'MH-60S Mission System Summary'!$B$1:$J$12,9,FALSE)</f>
        <v>0</v>
      </c>
    </row>
    <row r="184" spans="1:2" x14ac:dyDescent="0.2">
      <c r="A184" s="632" t="str">
        <f t="shared" si="73"/>
        <v>Ready MH-60S Fixed Forward Firing Systems (J)</v>
      </c>
      <c r="B184" s="670">
        <f>HLOOKUP($B$175,'MH-60S Mission System Summary'!$B$1:$J$12,10,FALSE)</f>
        <v>0.76187444475179777</v>
      </c>
    </row>
    <row r="185" spans="1:2" x14ac:dyDescent="0.2">
      <c r="A185" s="632" t="str">
        <f t="shared" si="73"/>
        <v>Ready MH-60S Shipboard Mission Systems (K)</v>
      </c>
      <c r="B185" s="670">
        <f>HLOOKUP($B$175,'MH-60S Mission System Summary'!$B$1:$J$12,11,FALSE)</f>
        <v>0.19503756295252275</v>
      </c>
    </row>
    <row r="186" spans="1:2" x14ac:dyDescent="0.2">
      <c r="A186" s="632" t="str">
        <f t="shared" si="73"/>
        <v>Ready MH-60S IMC Flight Mission Systems (L)</v>
      </c>
      <c r="B186" s="670">
        <f>HLOOKUP($B$175,'MH-60S Mission System Summary'!$B$1:$J$12,12,FALSE)</f>
        <v>1</v>
      </c>
    </row>
  </sheetData>
  <mergeCells count="16">
    <mergeCell ref="Q1:W1"/>
    <mergeCell ref="B16:F16"/>
    <mergeCell ref="G16:J16"/>
    <mergeCell ref="K16:M16"/>
    <mergeCell ref="N16:Q16"/>
    <mergeCell ref="R16:W16"/>
    <mergeCell ref="B147:C147"/>
    <mergeCell ref="D147:E147"/>
    <mergeCell ref="F147:G147"/>
    <mergeCell ref="A1:G1"/>
    <mergeCell ref="M1:O1"/>
    <mergeCell ref="X16:AB16"/>
    <mergeCell ref="A98:AC98"/>
    <mergeCell ref="A108:B108"/>
    <mergeCell ref="A109:B109"/>
    <mergeCell ref="A143:B143"/>
  </mergeCells>
  <conditionalFormatting sqref="C149:C150 C164:C166 C152:C153 C158 C161">
    <cfRule type="cellIs" dxfId="542" priority="45" operator="equal">
      <formula>B149</formula>
    </cfRule>
  </conditionalFormatting>
  <conditionalFormatting sqref="D149:E150 D163:E166 D152:E153 D158:E158 D161:E161">
    <cfRule type="cellIs" dxfId="541" priority="44" operator="equal">
      <formula>C149</formula>
    </cfRule>
  </conditionalFormatting>
  <conditionalFormatting sqref="E149">
    <cfRule type="cellIs" dxfId="540" priority="43" operator="equal">
      <formula>D149</formula>
    </cfRule>
  </conditionalFormatting>
  <conditionalFormatting sqref="F149">
    <cfRule type="cellIs" dxfId="539" priority="42" operator="equal">
      <formula>E149</formula>
    </cfRule>
  </conditionalFormatting>
  <conditionalFormatting sqref="F150 F163:F164 F152:F153 F158 F161">
    <cfRule type="cellIs" dxfId="538" priority="40" operator="equal">
      <formula>G150</formula>
    </cfRule>
    <cfRule type="cellIs" dxfId="537" priority="41" operator="equal">
      <formula>E150</formula>
    </cfRule>
  </conditionalFormatting>
  <conditionalFormatting sqref="F165:F166">
    <cfRule type="cellIs" dxfId="536" priority="38" operator="equal">
      <formula>G165</formula>
    </cfRule>
    <cfRule type="cellIs" dxfId="535" priority="39" operator="equal">
      <formula>E165</formula>
    </cfRule>
  </conditionalFormatting>
  <conditionalFormatting sqref="F172">
    <cfRule type="cellIs" dxfId="534" priority="36" operator="equal">
      <formula>G134</formula>
    </cfRule>
    <cfRule type="cellIs" dxfId="533" priority="37" operator="equal">
      <formula>E134</formula>
    </cfRule>
  </conditionalFormatting>
  <conditionalFormatting sqref="F171">
    <cfRule type="cellIs" dxfId="532" priority="46" operator="equal">
      <formula>#REF!</formula>
    </cfRule>
    <cfRule type="cellIs" dxfId="531" priority="47" operator="equal">
      <formula>E132</formula>
    </cfRule>
  </conditionalFormatting>
  <conditionalFormatting sqref="D171:E172">
    <cfRule type="cellIs" dxfId="530" priority="48" operator="equal">
      <formula>C132</formula>
    </cfRule>
  </conditionalFormatting>
  <conditionalFormatting sqref="C171:C172">
    <cfRule type="cellIs" dxfId="529" priority="49" operator="equal">
      <formula>B132</formula>
    </cfRule>
  </conditionalFormatting>
  <conditionalFormatting sqref="C154">
    <cfRule type="cellIs" dxfId="528" priority="35" operator="equal">
      <formula>B154</formula>
    </cfRule>
  </conditionalFormatting>
  <conditionalFormatting sqref="D154:E154">
    <cfRule type="cellIs" dxfId="527" priority="34" operator="equal">
      <formula>C154</formula>
    </cfRule>
  </conditionalFormatting>
  <conditionalFormatting sqref="F154">
    <cfRule type="cellIs" dxfId="526" priority="32" operator="equal">
      <formula>G154</formula>
    </cfRule>
    <cfRule type="cellIs" dxfId="525" priority="33" operator="equal">
      <formula>E154</formula>
    </cfRule>
  </conditionalFormatting>
  <conditionalFormatting sqref="C155">
    <cfRule type="cellIs" dxfId="524" priority="31" operator="equal">
      <formula>B155</formula>
    </cfRule>
  </conditionalFormatting>
  <conditionalFormatting sqref="D155:E155">
    <cfRule type="cellIs" dxfId="523" priority="30" operator="equal">
      <formula>C155</formula>
    </cfRule>
  </conditionalFormatting>
  <conditionalFormatting sqref="F155">
    <cfRule type="cellIs" dxfId="522" priority="28" operator="equal">
      <formula>G155</formula>
    </cfRule>
    <cfRule type="cellIs" dxfId="521" priority="29" operator="equal">
      <formula>E155</formula>
    </cfRule>
  </conditionalFormatting>
  <conditionalFormatting sqref="C156">
    <cfRule type="cellIs" dxfId="520" priority="27" operator="equal">
      <formula>B156</formula>
    </cfRule>
  </conditionalFormatting>
  <conditionalFormatting sqref="D156:E156">
    <cfRule type="cellIs" dxfId="519" priority="26" operator="equal">
      <formula>C156</formula>
    </cfRule>
  </conditionalFormatting>
  <conditionalFormatting sqref="F156">
    <cfRule type="cellIs" dxfId="518" priority="24" operator="equal">
      <formula>G156</formula>
    </cfRule>
    <cfRule type="cellIs" dxfId="517" priority="25" operator="equal">
      <formula>E156</formula>
    </cfRule>
  </conditionalFormatting>
  <conditionalFormatting sqref="C157">
    <cfRule type="cellIs" dxfId="516" priority="23" operator="equal">
      <formula>B157</formula>
    </cfRule>
  </conditionalFormatting>
  <conditionalFormatting sqref="D157:E157">
    <cfRule type="cellIs" dxfId="515" priority="22" operator="equal">
      <formula>C157</formula>
    </cfRule>
  </conditionalFormatting>
  <conditionalFormatting sqref="F157">
    <cfRule type="cellIs" dxfId="514" priority="20" operator="equal">
      <formula>G157</formula>
    </cfRule>
    <cfRule type="cellIs" dxfId="513" priority="21" operator="equal">
      <formula>E157</formula>
    </cfRule>
  </conditionalFormatting>
  <conditionalFormatting sqref="C159">
    <cfRule type="cellIs" dxfId="512" priority="19" operator="equal">
      <formula>B159</formula>
    </cfRule>
  </conditionalFormatting>
  <conditionalFormatting sqref="D159:E159">
    <cfRule type="cellIs" dxfId="511" priority="18" operator="equal">
      <formula>C159</formula>
    </cfRule>
  </conditionalFormatting>
  <conditionalFormatting sqref="F159">
    <cfRule type="cellIs" dxfId="510" priority="16" operator="equal">
      <formula>G159</formula>
    </cfRule>
    <cfRule type="cellIs" dxfId="509" priority="17" operator="equal">
      <formula>E159</formula>
    </cfRule>
  </conditionalFormatting>
  <conditionalFormatting sqref="C160">
    <cfRule type="cellIs" dxfId="508" priority="15" operator="equal">
      <formula>B160</formula>
    </cfRule>
  </conditionalFormatting>
  <conditionalFormatting sqref="D160:E160">
    <cfRule type="cellIs" dxfId="507" priority="14" operator="equal">
      <formula>C160</formula>
    </cfRule>
  </conditionalFormatting>
  <conditionalFormatting sqref="F160">
    <cfRule type="cellIs" dxfId="506" priority="12" operator="equal">
      <formula>G160</formula>
    </cfRule>
    <cfRule type="cellIs" dxfId="505" priority="13" operator="equal">
      <formula>E160</formula>
    </cfRule>
  </conditionalFormatting>
  <conditionalFormatting sqref="C163">
    <cfRule type="cellIs" dxfId="504" priority="11" operator="equal">
      <formula>B163</formula>
    </cfRule>
  </conditionalFormatting>
  <conditionalFormatting sqref="C168">
    <cfRule type="cellIs" dxfId="503" priority="10" operator="equal">
      <formula>B168</formula>
    </cfRule>
  </conditionalFormatting>
  <conditionalFormatting sqref="D167:E168">
    <cfRule type="cellIs" dxfId="502" priority="9" operator="equal">
      <formula>C167</formula>
    </cfRule>
  </conditionalFormatting>
  <conditionalFormatting sqref="F167:F168">
    <cfRule type="cellIs" dxfId="501" priority="7" operator="equal">
      <formula>G167</formula>
    </cfRule>
    <cfRule type="cellIs" dxfId="500" priority="8" operator="equal">
      <formula>E167</formula>
    </cfRule>
  </conditionalFormatting>
  <conditionalFormatting sqref="C167">
    <cfRule type="cellIs" dxfId="499" priority="6" operator="equal">
      <formula>B167</formula>
    </cfRule>
  </conditionalFormatting>
  <conditionalFormatting sqref="C170">
    <cfRule type="cellIs" dxfId="498" priority="5" operator="equal">
      <formula>B170</formula>
    </cfRule>
  </conditionalFormatting>
  <conditionalFormatting sqref="D169:E170">
    <cfRule type="cellIs" dxfId="497" priority="4" operator="equal">
      <formula>C169</formula>
    </cfRule>
  </conditionalFormatting>
  <conditionalFormatting sqref="F169:F170">
    <cfRule type="cellIs" dxfId="496" priority="2" operator="equal">
      <formula>G169</formula>
    </cfRule>
    <cfRule type="cellIs" dxfId="495" priority="3" operator="equal">
      <formula>E169</formula>
    </cfRule>
  </conditionalFormatting>
  <conditionalFormatting sqref="C169">
    <cfRule type="cellIs" dxfId="494" priority="1" operator="equal">
      <formula>B169</formula>
    </cfRule>
  </conditionalFormatting>
  <hyperlinks>
    <hyperlink ref="H1" location="Inventory!A1" display="Inventory" xr:uid="{00000000-0004-0000-0200-000000000000}"/>
    <hyperlink ref="H2" location="'HSC CVW 5AC DRRS'!A172" display="AMFOM" xr:uid="{00000000-0004-0000-0200-000001000000}"/>
    <hyperlink ref="I147" location="'HSC CVW 5AC DRRS'!A1" display="Top" xr:uid="{00000000-0004-0000-0200-000002000000}"/>
    <hyperlink ref="I148" location="Inventory!A1" display="Inventory" xr:uid="{00000000-0004-0000-0200-000003000000}"/>
  </hyperlinks>
  <printOptions horizontalCentered="1" verticalCentered="1"/>
  <pageMargins left="0.5" right="0.25" top="0.5" bottom="0.5" header="0.5" footer="0.5"/>
  <pageSetup scale="27"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86"/>
  <sheetViews>
    <sheetView showGridLines="0" zoomScaleNormal="100" zoomScaleSheetLayoutView="100" workbookViewId="0">
      <selection activeCell="A177" sqref="A177"/>
    </sheetView>
  </sheetViews>
  <sheetFormatPr defaultRowHeight="12" x14ac:dyDescent="0.2"/>
  <cols>
    <col min="1" max="1" width="62" style="28" bestFit="1" customWidth="1"/>
    <col min="2" max="29" width="5.7109375" style="28" customWidth="1"/>
    <col min="30" max="30" width="6.28515625" style="28" bestFit="1" customWidth="1"/>
    <col min="31" max="16384" width="9.140625" style="28"/>
  </cols>
  <sheetData>
    <row r="1" spans="1:30" s="1" customFormat="1" ht="18.75" x14ac:dyDescent="0.3">
      <c r="A1" s="746" t="s">
        <v>231</v>
      </c>
      <c r="B1" s="746"/>
      <c r="C1" s="746"/>
      <c r="D1" s="746"/>
      <c r="E1" s="746"/>
      <c r="F1" s="746"/>
      <c r="G1" s="746"/>
      <c r="H1" s="554" t="s">
        <v>62</v>
      </c>
      <c r="K1" s="475"/>
      <c r="L1" s="476" t="s">
        <v>3</v>
      </c>
      <c r="M1" s="747">
        <v>44835</v>
      </c>
      <c r="N1" s="748"/>
      <c r="O1" s="749"/>
      <c r="AC1" s="423" t="s">
        <v>63</v>
      </c>
      <c r="AD1" s="426">
        <v>7.02</v>
      </c>
    </row>
    <row r="2" spans="1:30" s="8" customFormat="1" x14ac:dyDescent="0.2">
      <c r="A2" s="135" t="s">
        <v>64</v>
      </c>
      <c r="B2" s="478">
        <v>5</v>
      </c>
      <c r="C2" s="479"/>
      <c r="D2" s="479"/>
      <c r="E2" s="480"/>
      <c r="F2" s="479"/>
      <c r="G2" s="481"/>
      <c r="H2" s="560" t="s">
        <v>1</v>
      </c>
      <c r="I2" s="483"/>
      <c r="J2" s="483"/>
      <c r="K2" s="483"/>
    </row>
    <row r="3" spans="1:30" s="8" customFormat="1" ht="11.25" x14ac:dyDescent="0.2">
      <c r="A3" s="135" t="s">
        <v>65</v>
      </c>
      <c r="B3" s="484">
        <f>B4/B2</f>
        <v>1.8</v>
      </c>
      <c r="C3" s="561"/>
      <c r="D3" s="562"/>
      <c r="E3" s="563"/>
      <c r="F3" s="564"/>
      <c r="G3" s="565"/>
      <c r="H3" s="7"/>
      <c r="I3" s="489"/>
      <c r="J3" s="489"/>
      <c r="K3" s="490"/>
      <c r="L3" s="491"/>
      <c r="N3" s="492"/>
    </row>
    <row r="4" spans="1:30" s="8" customFormat="1" ht="11.25" x14ac:dyDescent="0.2">
      <c r="A4" s="135" t="s">
        <v>66</v>
      </c>
      <c r="B4" s="10">
        <v>9</v>
      </c>
      <c r="C4" s="492"/>
      <c r="D4" s="493"/>
      <c r="E4" s="493"/>
      <c r="F4" s="20"/>
      <c r="G4" s="18"/>
      <c r="H4" s="18"/>
      <c r="I4" s="489"/>
      <c r="J4" s="489"/>
      <c r="K4" s="490"/>
      <c r="L4" s="491"/>
      <c r="N4" s="492"/>
    </row>
    <row r="5" spans="1:30" s="8" customFormat="1" ht="11.25" x14ac:dyDescent="0.2">
      <c r="A5" s="135" t="s">
        <v>67</v>
      </c>
      <c r="B5" s="19">
        <v>2</v>
      </c>
      <c r="C5" s="492"/>
      <c r="D5" s="493"/>
      <c r="E5" s="493"/>
      <c r="F5" s="20"/>
      <c r="G5" s="18"/>
      <c r="H5" s="18"/>
      <c r="I5" s="489"/>
      <c r="J5" s="489"/>
      <c r="K5" s="490"/>
      <c r="L5" s="491"/>
      <c r="N5" s="492"/>
    </row>
    <row r="6" spans="1:30" s="8" customFormat="1" ht="11.25" x14ac:dyDescent="0.2">
      <c r="A6" s="136" t="s">
        <v>68</v>
      </c>
      <c r="B6" s="10">
        <v>28</v>
      </c>
      <c r="C6" s="494"/>
      <c r="D6" s="495"/>
      <c r="E6" s="495"/>
      <c r="F6" s="20"/>
      <c r="G6" s="18"/>
      <c r="H6" s="18"/>
      <c r="I6" s="496"/>
      <c r="J6" s="496"/>
      <c r="K6" s="497"/>
      <c r="L6" s="491"/>
      <c r="M6" s="492"/>
      <c r="N6" s="492"/>
    </row>
    <row r="7" spans="1:30" s="8" customFormat="1" ht="11.25" x14ac:dyDescent="0.2">
      <c r="A7" s="135" t="s">
        <v>69</v>
      </c>
      <c r="B7" s="10">
        <f>B6*B4</f>
        <v>252</v>
      </c>
      <c r="C7" s="492"/>
      <c r="D7" s="492"/>
      <c r="E7" s="493"/>
      <c r="F7" s="20"/>
      <c r="G7" s="18"/>
      <c r="H7" s="18"/>
      <c r="I7" s="489"/>
      <c r="J7" s="489"/>
      <c r="K7" s="490"/>
      <c r="L7" s="491"/>
      <c r="M7" s="11"/>
      <c r="N7" s="11"/>
    </row>
    <row r="8" spans="1:30" s="8" customFormat="1" ht="11.25" x14ac:dyDescent="0.2">
      <c r="A8" s="135" t="s">
        <v>70</v>
      </c>
      <c r="B8" s="10">
        <f>B7/B5</f>
        <v>126</v>
      </c>
      <c r="C8" s="498"/>
      <c r="D8" s="492"/>
      <c r="E8" s="492"/>
      <c r="F8" s="20"/>
      <c r="G8" s="18"/>
      <c r="H8" s="18"/>
      <c r="I8" s="11"/>
      <c r="J8" s="11"/>
      <c r="K8" s="11"/>
      <c r="L8" s="11"/>
      <c r="M8" s="11"/>
      <c r="N8" s="11"/>
    </row>
    <row r="9" spans="1:30" s="8" customFormat="1" ht="11.25" x14ac:dyDescent="0.2">
      <c r="A9" s="135" t="s">
        <v>71</v>
      </c>
      <c r="B9" s="10">
        <f>B4*C9</f>
        <v>9</v>
      </c>
      <c r="C9" s="499">
        <v>1</v>
      </c>
      <c r="D9" s="500" t="s">
        <v>72</v>
      </c>
      <c r="E9" s="492"/>
      <c r="F9" s="20"/>
      <c r="G9" s="132" t="s">
        <v>73</v>
      </c>
      <c r="H9" s="133">
        <v>0.4</v>
      </c>
      <c r="I9" s="11"/>
      <c r="J9" s="11"/>
      <c r="K9" s="11"/>
      <c r="L9" s="11"/>
      <c r="M9" s="11"/>
      <c r="N9" s="11"/>
    </row>
    <row r="10" spans="1:30" s="8" customFormat="1" ht="11.25" x14ac:dyDescent="0.2">
      <c r="A10" s="135" t="s">
        <v>74</v>
      </c>
      <c r="B10" s="11">
        <f>B4*C10</f>
        <v>81</v>
      </c>
      <c r="C10" s="499">
        <v>9</v>
      </c>
      <c r="D10" s="500" t="s">
        <v>72</v>
      </c>
      <c r="E10" s="11"/>
      <c r="F10" s="20"/>
      <c r="G10" s="134" t="s">
        <v>75</v>
      </c>
      <c r="H10" s="133">
        <v>0.35699999999999998</v>
      </c>
      <c r="I10" s="11"/>
      <c r="J10" s="11"/>
      <c r="K10" s="11"/>
      <c r="L10" s="11"/>
      <c r="M10" s="11"/>
      <c r="N10" s="11"/>
    </row>
    <row r="11" spans="1:30" s="8" customFormat="1" ht="11.25" x14ac:dyDescent="0.2">
      <c r="A11" s="200" t="s">
        <v>76</v>
      </c>
      <c r="B11" s="201">
        <f>C11*B4</f>
        <v>9</v>
      </c>
      <c r="C11" s="501">
        <v>1</v>
      </c>
      <c r="D11" s="500" t="s">
        <v>72</v>
      </c>
      <c r="E11" s="11"/>
      <c r="F11" s="20"/>
      <c r="G11" s="18"/>
      <c r="H11" s="18"/>
      <c r="I11" s="11"/>
      <c r="J11" s="11"/>
      <c r="K11" s="11"/>
      <c r="L11" s="11"/>
      <c r="M11" s="11"/>
      <c r="N11" s="11"/>
    </row>
    <row r="12" spans="1:30" s="8" customFormat="1" ht="11.25" x14ac:dyDescent="0.2">
      <c r="A12" s="18"/>
      <c r="B12" s="11"/>
      <c r="C12" s="499"/>
      <c r="D12" s="24"/>
      <c r="E12" s="11"/>
      <c r="F12" s="20"/>
      <c r="G12" s="18"/>
      <c r="H12" s="18"/>
      <c r="I12" s="11"/>
      <c r="J12" s="11"/>
      <c r="K12" s="11"/>
      <c r="L12" s="11"/>
      <c r="M12" s="11"/>
      <c r="N12" s="11"/>
    </row>
    <row r="13" spans="1:30" s="27" customFormat="1" ht="59.25" customHeight="1" x14ac:dyDescent="0.2">
      <c r="A13" s="502" t="s">
        <v>77</v>
      </c>
      <c r="B13" s="503" t="s">
        <v>83</v>
      </c>
      <c r="C13" s="503" t="s">
        <v>83</v>
      </c>
      <c r="D13" s="503" t="s">
        <v>120</v>
      </c>
      <c r="E13" s="503" t="s">
        <v>120</v>
      </c>
      <c r="F13" s="503" t="s">
        <v>120</v>
      </c>
      <c r="G13" s="503" t="s">
        <v>83</v>
      </c>
      <c r="H13" s="503" t="s">
        <v>83</v>
      </c>
      <c r="I13" s="503" t="s">
        <v>83</v>
      </c>
      <c r="J13" s="504" t="s">
        <v>120</v>
      </c>
      <c r="K13" s="504" t="s">
        <v>120</v>
      </c>
      <c r="L13" s="504" t="s">
        <v>120</v>
      </c>
      <c r="M13" s="643" t="s">
        <v>120</v>
      </c>
      <c r="N13" s="142" t="s">
        <v>84</v>
      </c>
    </row>
    <row r="14" spans="1:30" s="27" customFormat="1" x14ac:dyDescent="0.2">
      <c r="A14" s="502" t="s">
        <v>85</v>
      </c>
      <c r="B14" s="505" t="s">
        <v>102</v>
      </c>
      <c r="C14" s="505" t="s">
        <v>103</v>
      </c>
      <c r="D14" s="505" t="s">
        <v>88</v>
      </c>
      <c r="E14" s="505" t="s">
        <v>89</v>
      </c>
      <c r="F14" s="505" t="s">
        <v>90</v>
      </c>
      <c r="G14" s="505" t="s">
        <v>104</v>
      </c>
      <c r="H14" s="505" t="s">
        <v>105</v>
      </c>
      <c r="I14" s="505" t="s">
        <v>106</v>
      </c>
      <c r="J14" s="506" t="s">
        <v>94</v>
      </c>
      <c r="K14" s="506" t="s">
        <v>95</v>
      </c>
      <c r="L14" s="505" t="s">
        <v>96</v>
      </c>
      <c r="M14" s="717" t="s">
        <v>97</v>
      </c>
      <c r="N14" s="505" t="s">
        <v>113</v>
      </c>
    </row>
    <row r="15" spans="1:30" s="27" customFormat="1" x14ac:dyDescent="0.2">
      <c r="A15" s="502" t="s">
        <v>114</v>
      </c>
      <c r="B15" s="505">
        <v>1</v>
      </c>
      <c r="C15" s="505">
        <v>2</v>
      </c>
      <c r="D15" s="505">
        <v>3</v>
      </c>
      <c r="E15" s="505">
        <v>4</v>
      </c>
      <c r="F15" s="505">
        <v>5</v>
      </c>
      <c r="G15" s="505">
        <v>6</v>
      </c>
      <c r="H15" s="505">
        <v>7</v>
      </c>
      <c r="I15" s="505">
        <v>8</v>
      </c>
      <c r="J15" s="505">
        <v>9</v>
      </c>
      <c r="K15" s="505">
        <v>10</v>
      </c>
      <c r="L15" s="505">
        <v>11</v>
      </c>
      <c r="M15" s="717">
        <v>12</v>
      </c>
      <c r="N15" s="505">
        <v>28</v>
      </c>
    </row>
    <row r="16" spans="1:30" x14ac:dyDescent="0.2">
      <c r="A16" s="507" t="s">
        <v>115</v>
      </c>
      <c r="B16" s="757" t="s">
        <v>119</v>
      </c>
      <c r="C16" s="758"/>
      <c r="D16" s="757" t="s">
        <v>120</v>
      </c>
      <c r="E16" s="759"/>
      <c r="F16" s="758"/>
      <c r="G16" s="760" t="s">
        <v>119</v>
      </c>
      <c r="H16" s="761"/>
      <c r="I16" s="762"/>
      <c r="J16" s="566" t="s">
        <v>120</v>
      </c>
      <c r="K16" s="763" t="s">
        <v>232</v>
      </c>
      <c r="L16" s="764"/>
      <c r="M16" s="764"/>
      <c r="N16" s="567" t="s">
        <v>121</v>
      </c>
    </row>
    <row r="17" spans="1:14" ht="12.75" x14ac:dyDescent="0.2">
      <c r="A17" s="508" t="s">
        <v>122</v>
      </c>
      <c r="B17" s="117"/>
      <c r="C17" s="53"/>
      <c r="D17" s="53"/>
      <c r="E17" s="53"/>
      <c r="F17" s="53"/>
      <c r="G17" s="53"/>
      <c r="H17" s="53"/>
      <c r="I17" s="53"/>
      <c r="J17" s="53"/>
      <c r="K17" s="53"/>
      <c r="L17" s="53"/>
      <c r="M17" s="53"/>
      <c r="N17" s="529"/>
    </row>
    <row r="18" spans="1:14" s="493" customFormat="1" x14ac:dyDescent="0.2">
      <c r="A18" s="178" t="s">
        <v>123</v>
      </c>
      <c r="B18" s="510">
        <f>IF(B101&lt;80,B102,MIN(B101,80))</f>
        <v>80</v>
      </c>
      <c r="C18" s="510">
        <f t="shared" ref="C18:N18" si="0">IF(C101&lt;80,C102,MIN(C101,80))</f>
        <v>80</v>
      </c>
      <c r="D18" s="510">
        <f t="shared" si="0"/>
        <v>80</v>
      </c>
      <c r="E18" s="510">
        <f t="shared" si="0"/>
        <v>80</v>
      </c>
      <c r="F18" s="510">
        <f t="shared" si="0"/>
        <v>80</v>
      </c>
      <c r="G18" s="510">
        <f t="shared" si="0"/>
        <v>80</v>
      </c>
      <c r="H18" s="510">
        <f t="shared" si="0"/>
        <v>80</v>
      </c>
      <c r="I18" s="510">
        <f t="shared" si="0"/>
        <v>80</v>
      </c>
      <c r="J18" s="510">
        <f t="shared" si="0"/>
        <v>80</v>
      </c>
      <c r="K18" s="510">
        <f t="shared" si="0"/>
        <v>80</v>
      </c>
      <c r="L18" s="510">
        <f t="shared" si="0"/>
        <v>80</v>
      </c>
      <c r="M18" s="644">
        <f t="shared" si="0"/>
        <v>80</v>
      </c>
      <c r="N18" s="510">
        <f t="shared" si="0"/>
        <v>21.035573261743831</v>
      </c>
    </row>
    <row r="19" spans="1:14" x14ac:dyDescent="0.2">
      <c r="A19" s="34" t="s">
        <v>124</v>
      </c>
      <c r="B19" s="71">
        <v>0.8</v>
      </c>
      <c r="C19" s="71">
        <v>0.8</v>
      </c>
      <c r="D19" s="71">
        <v>0.6</v>
      </c>
      <c r="E19" s="71">
        <v>0.75</v>
      </c>
      <c r="F19" s="71">
        <v>0.75</v>
      </c>
      <c r="G19" s="71">
        <v>0.8</v>
      </c>
      <c r="H19" s="71">
        <v>0.8</v>
      </c>
      <c r="I19" s="71">
        <v>0.8</v>
      </c>
      <c r="J19" s="511">
        <v>0.6</v>
      </c>
      <c r="K19" s="511">
        <v>0.75</v>
      </c>
      <c r="L19" s="71">
        <v>0.75</v>
      </c>
      <c r="M19" s="645">
        <v>0.75</v>
      </c>
      <c r="N19" s="35">
        <v>0.4</v>
      </c>
    </row>
    <row r="20" spans="1:14" x14ac:dyDescent="0.2">
      <c r="A20" s="204" t="s">
        <v>125</v>
      </c>
      <c r="B20" s="147"/>
      <c r="C20" s="211"/>
      <c r="D20" s="211"/>
      <c r="E20" s="211"/>
      <c r="F20" s="211"/>
      <c r="G20" s="211"/>
      <c r="H20" s="211"/>
      <c r="I20" s="211"/>
      <c r="J20" s="512"/>
      <c r="K20" s="512"/>
      <c r="L20" s="211"/>
      <c r="M20" s="211"/>
      <c r="N20" s="35"/>
    </row>
    <row r="21" spans="1:14" s="283" customFormat="1" x14ac:dyDescent="0.2">
      <c r="A21" s="513" t="s">
        <v>126</v>
      </c>
      <c r="B21" s="209">
        <f t="shared" ref="B21:N21" si="1">B19*$B$8</f>
        <v>100.80000000000001</v>
      </c>
      <c r="C21" s="209">
        <f t="shared" si="1"/>
        <v>100.80000000000001</v>
      </c>
      <c r="D21" s="209">
        <f t="shared" si="1"/>
        <v>75.599999999999994</v>
      </c>
      <c r="E21" s="209">
        <f t="shared" si="1"/>
        <v>94.5</v>
      </c>
      <c r="F21" s="209">
        <f t="shared" si="1"/>
        <v>94.5</v>
      </c>
      <c r="G21" s="209">
        <f t="shared" si="1"/>
        <v>100.80000000000001</v>
      </c>
      <c r="H21" s="209">
        <f t="shared" si="1"/>
        <v>100.80000000000001</v>
      </c>
      <c r="I21" s="209">
        <f t="shared" si="1"/>
        <v>100.80000000000001</v>
      </c>
      <c r="J21" s="209">
        <f t="shared" si="1"/>
        <v>75.599999999999994</v>
      </c>
      <c r="K21" s="209">
        <f t="shared" si="1"/>
        <v>94.5</v>
      </c>
      <c r="L21" s="209">
        <f t="shared" si="1"/>
        <v>94.5</v>
      </c>
      <c r="M21" s="210">
        <f t="shared" si="1"/>
        <v>94.5</v>
      </c>
      <c r="N21" s="137">
        <f t="shared" si="1"/>
        <v>50.400000000000006</v>
      </c>
    </row>
    <row r="22" spans="1:14" x14ac:dyDescent="0.2">
      <c r="A22" s="513" t="s">
        <v>127</v>
      </c>
      <c r="B22" s="37">
        <f t="shared" ref="B22:N22" si="2">B21*$B$5</f>
        <v>201.60000000000002</v>
      </c>
      <c r="C22" s="37">
        <f t="shared" si="2"/>
        <v>201.60000000000002</v>
      </c>
      <c r="D22" s="37">
        <f t="shared" si="2"/>
        <v>151.19999999999999</v>
      </c>
      <c r="E22" s="37">
        <f t="shared" si="2"/>
        <v>189</v>
      </c>
      <c r="F22" s="37">
        <f t="shared" si="2"/>
        <v>189</v>
      </c>
      <c r="G22" s="37">
        <f t="shared" si="2"/>
        <v>201.60000000000002</v>
      </c>
      <c r="H22" s="37">
        <f t="shared" si="2"/>
        <v>201.60000000000002</v>
      </c>
      <c r="I22" s="37">
        <f t="shared" si="2"/>
        <v>201.60000000000002</v>
      </c>
      <c r="J22" s="37">
        <f t="shared" si="2"/>
        <v>151.19999999999999</v>
      </c>
      <c r="K22" s="37">
        <f t="shared" si="2"/>
        <v>189</v>
      </c>
      <c r="L22" s="37">
        <f t="shared" si="2"/>
        <v>189</v>
      </c>
      <c r="M22" s="138">
        <f t="shared" si="2"/>
        <v>189</v>
      </c>
      <c r="N22" s="37">
        <f t="shared" si="2"/>
        <v>100.80000000000001</v>
      </c>
    </row>
    <row r="23" spans="1:14" x14ac:dyDescent="0.2">
      <c r="A23" s="513" t="s">
        <v>128</v>
      </c>
      <c r="B23" s="139">
        <f>$B$9</f>
        <v>9</v>
      </c>
      <c r="C23" s="139">
        <f t="shared" ref="C23:N23" si="3">$B$9</f>
        <v>9</v>
      </c>
      <c r="D23" s="139">
        <f t="shared" si="3"/>
        <v>9</v>
      </c>
      <c r="E23" s="139">
        <f t="shared" si="3"/>
        <v>9</v>
      </c>
      <c r="F23" s="139">
        <f t="shared" si="3"/>
        <v>9</v>
      </c>
      <c r="G23" s="139">
        <f t="shared" si="3"/>
        <v>9</v>
      </c>
      <c r="H23" s="139">
        <f t="shared" si="3"/>
        <v>9</v>
      </c>
      <c r="I23" s="139">
        <f t="shared" si="3"/>
        <v>9</v>
      </c>
      <c r="J23" s="139">
        <f t="shared" si="3"/>
        <v>9</v>
      </c>
      <c r="K23" s="139">
        <f t="shared" si="3"/>
        <v>9</v>
      </c>
      <c r="L23" s="139">
        <f t="shared" si="3"/>
        <v>9</v>
      </c>
      <c r="M23" s="140">
        <f t="shared" si="3"/>
        <v>9</v>
      </c>
      <c r="N23" s="139">
        <f t="shared" si="3"/>
        <v>9</v>
      </c>
    </row>
    <row r="24" spans="1:14" x14ac:dyDescent="0.2">
      <c r="A24" s="513" t="s">
        <v>129</v>
      </c>
      <c r="B24" s="139">
        <f t="shared" ref="B24:N24" si="4">IF(ISBLANK(B145),0,$B$10)</f>
        <v>81</v>
      </c>
      <c r="C24" s="139">
        <f t="shared" si="4"/>
        <v>81</v>
      </c>
      <c r="D24" s="139">
        <f t="shared" si="4"/>
        <v>0</v>
      </c>
      <c r="E24" s="139">
        <f t="shared" si="4"/>
        <v>0</v>
      </c>
      <c r="F24" s="139">
        <f t="shared" si="4"/>
        <v>0</v>
      </c>
      <c r="G24" s="139">
        <f t="shared" si="4"/>
        <v>81</v>
      </c>
      <c r="H24" s="139">
        <f t="shared" si="4"/>
        <v>81</v>
      </c>
      <c r="I24" s="139">
        <f t="shared" si="4"/>
        <v>81</v>
      </c>
      <c r="J24" s="139">
        <f t="shared" si="4"/>
        <v>0</v>
      </c>
      <c r="K24" s="139">
        <f t="shared" si="4"/>
        <v>0</v>
      </c>
      <c r="L24" s="139">
        <f t="shared" si="4"/>
        <v>0</v>
      </c>
      <c r="M24" s="140">
        <f t="shared" si="4"/>
        <v>0</v>
      </c>
      <c r="N24" s="139">
        <f t="shared" si="4"/>
        <v>0</v>
      </c>
    </row>
    <row r="25" spans="1:14" x14ac:dyDescent="0.2">
      <c r="A25" s="513" t="s">
        <v>130</v>
      </c>
      <c r="B25" s="37">
        <f>B21*$B$5+SUM(B23:B24)</f>
        <v>291.60000000000002</v>
      </c>
      <c r="C25" s="37">
        <f t="shared" ref="C25:N25" si="5">C21*$B$5+SUM(C23:C24)</f>
        <v>291.60000000000002</v>
      </c>
      <c r="D25" s="37">
        <f t="shared" si="5"/>
        <v>160.19999999999999</v>
      </c>
      <c r="E25" s="37">
        <f t="shared" si="5"/>
        <v>198</v>
      </c>
      <c r="F25" s="37">
        <f t="shared" si="5"/>
        <v>198</v>
      </c>
      <c r="G25" s="37">
        <f t="shared" si="5"/>
        <v>291.60000000000002</v>
      </c>
      <c r="H25" s="37">
        <f t="shared" si="5"/>
        <v>291.60000000000002</v>
      </c>
      <c r="I25" s="37">
        <f t="shared" si="5"/>
        <v>291.60000000000002</v>
      </c>
      <c r="J25" s="37">
        <f t="shared" si="5"/>
        <v>160.19999999999999</v>
      </c>
      <c r="K25" s="37">
        <f t="shared" si="5"/>
        <v>198</v>
      </c>
      <c r="L25" s="37">
        <f t="shared" si="5"/>
        <v>198</v>
      </c>
      <c r="M25" s="138">
        <f t="shared" si="5"/>
        <v>198</v>
      </c>
      <c r="N25" s="37">
        <f t="shared" si="5"/>
        <v>109.80000000000001</v>
      </c>
    </row>
    <row r="26" spans="1:14" x14ac:dyDescent="0.2">
      <c r="A26" s="514" t="s">
        <v>131</v>
      </c>
      <c r="B26" s="39">
        <f t="shared" ref="B26:N26" si="6">-IF(ISBLANK(B144),0,MIN(B$22*$H$10,B$22-$B$7*$H$9))</f>
        <v>0</v>
      </c>
      <c r="C26" s="39">
        <f t="shared" si="6"/>
        <v>0</v>
      </c>
      <c r="D26" s="39">
        <f t="shared" si="6"/>
        <v>-50.399999999999977</v>
      </c>
      <c r="E26" s="39">
        <f t="shared" si="6"/>
        <v>-67.472999999999999</v>
      </c>
      <c r="F26" s="39">
        <f t="shared" si="6"/>
        <v>-67.472999999999999</v>
      </c>
      <c r="G26" s="39">
        <f t="shared" si="6"/>
        <v>0</v>
      </c>
      <c r="H26" s="39">
        <f t="shared" si="6"/>
        <v>0</v>
      </c>
      <c r="I26" s="39">
        <f t="shared" si="6"/>
        <v>0</v>
      </c>
      <c r="J26" s="39">
        <f t="shared" si="6"/>
        <v>-50.399999999999977</v>
      </c>
      <c r="K26" s="39">
        <f t="shared" si="6"/>
        <v>-67.472999999999999</v>
      </c>
      <c r="L26" s="39">
        <f t="shared" si="6"/>
        <v>-67.472999999999999</v>
      </c>
      <c r="M26" s="141">
        <f t="shared" si="6"/>
        <v>-67.472999999999999</v>
      </c>
      <c r="N26" s="39">
        <f t="shared" si="6"/>
        <v>0</v>
      </c>
    </row>
    <row r="27" spans="1:14" x14ac:dyDescent="0.2">
      <c r="A27" s="513" t="s">
        <v>132</v>
      </c>
      <c r="B27" s="39">
        <f t="shared" ref="B27:N27" si="7">SUM(B25:B26)</f>
        <v>291.60000000000002</v>
      </c>
      <c r="C27" s="39">
        <f t="shared" si="7"/>
        <v>291.60000000000002</v>
      </c>
      <c r="D27" s="39">
        <f t="shared" si="7"/>
        <v>109.80000000000001</v>
      </c>
      <c r="E27" s="39">
        <f t="shared" si="7"/>
        <v>130.52699999999999</v>
      </c>
      <c r="F27" s="39">
        <f t="shared" si="7"/>
        <v>130.52699999999999</v>
      </c>
      <c r="G27" s="39">
        <f t="shared" si="7"/>
        <v>291.60000000000002</v>
      </c>
      <c r="H27" s="39">
        <f t="shared" si="7"/>
        <v>291.60000000000002</v>
      </c>
      <c r="I27" s="39">
        <f t="shared" si="7"/>
        <v>291.60000000000002</v>
      </c>
      <c r="J27" s="39">
        <f t="shared" si="7"/>
        <v>109.80000000000001</v>
      </c>
      <c r="K27" s="39">
        <f t="shared" si="7"/>
        <v>130.52699999999999</v>
      </c>
      <c r="L27" s="39">
        <f t="shared" si="7"/>
        <v>130.52699999999999</v>
      </c>
      <c r="M27" s="141">
        <f t="shared" si="7"/>
        <v>130.52699999999999</v>
      </c>
      <c r="N27" s="39">
        <f t="shared" si="7"/>
        <v>109.80000000000001</v>
      </c>
    </row>
    <row r="28" spans="1:14" x14ac:dyDescent="0.2">
      <c r="A28" s="514" t="s">
        <v>133</v>
      </c>
      <c r="B28" s="41">
        <f>AVERAGE(L22:M22,B22)</f>
        <v>193.20000000000002</v>
      </c>
      <c r="C28" s="41">
        <f>AVERAGE(M22,B22:C22)</f>
        <v>197.4</v>
      </c>
      <c r="D28" s="41">
        <f t="shared" ref="D28:M28" si="8">AVERAGE(B22:D22)</f>
        <v>184.80000000000004</v>
      </c>
      <c r="E28" s="41">
        <f t="shared" si="8"/>
        <v>180.6</v>
      </c>
      <c r="F28" s="41">
        <f t="shared" si="8"/>
        <v>176.4</v>
      </c>
      <c r="G28" s="41">
        <f t="shared" si="8"/>
        <v>193.20000000000002</v>
      </c>
      <c r="H28" s="41">
        <f t="shared" si="8"/>
        <v>197.4</v>
      </c>
      <c r="I28" s="41">
        <f t="shared" si="8"/>
        <v>201.60000000000002</v>
      </c>
      <c r="J28" s="41">
        <f t="shared" si="8"/>
        <v>184.80000000000004</v>
      </c>
      <c r="K28" s="41">
        <f t="shared" si="8"/>
        <v>180.6</v>
      </c>
      <c r="L28" s="41">
        <f t="shared" si="8"/>
        <v>176.4</v>
      </c>
      <c r="M28" s="639">
        <f t="shared" si="8"/>
        <v>189</v>
      </c>
      <c r="N28" s="41">
        <f>N27</f>
        <v>109.80000000000001</v>
      </c>
    </row>
    <row r="29" spans="1:14" x14ac:dyDescent="0.2">
      <c r="A29" s="515" t="s">
        <v>134</v>
      </c>
      <c r="B29" s="138"/>
      <c r="C29" s="212"/>
      <c r="D29" s="212"/>
      <c r="E29" s="212"/>
      <c r="F29" s="212"/>
      <c r="G29" s="212"/>
      <c r="H29" s="212"/>
      <c r="I29" s="212"/>
      <c r="J29" s="212"/>
      <c r="K29" s="212"/>
      <c r="L29" s="212"/>
      <c r="M29" s="212"/>
      <c r="N29" s="37"/>
    </row>
    <row r="30" spans="1:14" x14ac:dyDescent="0.2">
      <c r="A30" s="514" t="s">
        <v>135</v>
      </c>
      <c r="B30" s="39">
        <f t="shared" ref="B30:N30" si="9">IF(ISBLANK(B144),0,$B$11)</f>
        <v>0</v>
      </c>
      <c r="C30" s="39">
        <f t="shared" si="9"/>
        <v>0</v>
      </c>
      <c r="D30" s="39">
        <f t="shared" si="9"/>
        <v>9</v>
      </c>
      <c r="E30" s="39">
        <f t="shared" si="9"/>
        <v>9</v>
      </c>
      <c r="F30" s="39">
        <f t="shared" si="9"/>
        <v>9</v>
      </c>
      <c r="G30" s="39">
        <f t="shared" si="9"/>
        <v>0</v>
      </c>
      <c r="H30" s="39">
        <f t="shared" si="9"/>
        <v>0</v>
      </c>
      <c r="I30" s="39">
        <f t="shared" si="9"/>
        <v>0</v>
      </c>
      <c r="J30" s="39">
        <f t="shared" si="9"/>
        <v>9</v>
      </c>
      <c r="K30" s="39">
        <f t="shared" si="9"/>
        <v>9</v>
      </c>
      <c r="L30" s="39">
        <f t="shared" si="9"/>
        <v>9</v>
      </c>
      <c r="M30" s="141">
        <f t="shared" si="9"/>
        <v>9</v>
      </c>
      <c r="N30" s="39">
        <f t="shared" si="9"/>
        <v>9</v>
      </c>
    </row>
    <row r="31" spans="1:14" ht="12.75" x14ac:dyDescent="0.2">
      <c r="A31" s="508" t="s">
        <v>136</v>
      </c>
      <c r="B31" s="117"/>
      <c r="C31" s="53"/>
      <c r="D31" s="53"/>
      <c r="E31" s="53"/>
      <c r="F31" s="53"/>
      <c r="G31" s="53"/>
      <c r="H31" s="53"/>
      <c r="I31" s="53"/>
      <c r="J31" s="53"/>
      <c r="K31" s="53"/>
      <c r="L31" s="53"/>
      <c r="M31" s="53"/>
      <c r="N31" s="529"/>
    </row>
    <row r="32" spans="1:14" x14ac:dyDescent="0.2">
      <c r="A32" s="516" t="s">
        <v>137</v>
      </c>
      <c r="B32" s="35">
        <v>1</v>
      </c>
      <c r="C32" s="35">
        <v>1</v>
      </c>
      <c r="D32" s="35">
        <v>1</v>
      </c>
      <c r="E32" s="35">
        <v>1</v>
      </c>
      <c r="F32" s="35">
        <v>1</v>
      </c>
      <c r="G32" s="35">
        <v>1</v>
      </c>
      <c r="H32" s="35">
        <v>1</v>
      </c>
      <c r="I32" s="35">
        <v>1</v>
      </c>
      <c r="J32" s="35">
        <v>1</v>
      </c>
      <c r="K32" s="35">
        <v>0.7</v>
      </c>
      <c r="L32" s="35">
        <v>0.7</v>
      </c>
      <c r="M32" s="147">
        <v>0.7</v>
      </c>
      <c r="N32" s="35">
        <v>0.7</v>
      </c>
    </row>
    <row r="33" spans="1:14" x14ac:dyDescent="0.2">
      <c r="A33" s="516" t="s">
        <v>138</v>
      </c>
      <c r="B33" s="43">
        <f t="shared" ref="B33:N33" si="10">B32*0.8</f>
        <v>0.8</v>
      </c>
      <c r="C33" s="43">
        <f t="shared" si="10"/>
        <v>0.8</v>
      </c>
      <c r="D33" s="43">
        <f t="shared" si="10"/>
        <v>0.8</v>
      </c>
      <c r="E33" s="43">
        <f t="shared" si="10"/>
        <v>0.8</v>
      </c>
      <c r="F33" s="43">
        <f t="shared" si="10"/>
        <v>0.8</v>
      </c>
      <c r="G33" s="43">
        <f t="shared" si="10"/>
        <v>0.8</v>
      </c>
      <c r="H33" s="43">
        <f t="shared" si="10"/>
        <v>0.8</v>
      </c>
      <c r="I33" s="43">
        <f t="shared" si="10"/>
        <v>0.8</v>
      </c>
      <c r="J33" s="43">
        <f t="shared" si="10"/>
        <v>0.8</v>
      </c>
      <c r="K33" s="43">
        <f t="shared" si="10"/>
        <v>0.55999999999999994</v>
      </c>
      <c r="L33" s="43">
        <f t="shared" si="10"/>
        <v>0.55999999999999994</v>
      </c>
      <c r="M33" s="640">
        <f t="shared" si="10"/>
        <v>0.55999999999999994</v>
      </c>
      <c r="N33" s="43">
        <f t="shared" si="10"/>
        <v>0.55999999999999994</v>
      </c>
    </row>
    <row r="34" spans="1:14" x14ac:dyDescent="0.2">
      <c r="A34" s="516" t="s">
        <v>139</v>
      </c>
      <c r="B34" s="43">
        <f>((B36*$B$176)/$B$2)</f>
        <v>0.68263517808678986</v>
      </c>
      <c r="C34" s="43">
        <f t="shared" ref="C34:N34" si="11">((C36*$B$176)/$B$2)</f>
        <v>0.68263517808678986</v>
      </c>
      <c r="D34" s="43">
        <f t="shared" si="11"/>
        <v>0.68263517808678986</v>
      </c>
      <c r="E34" s="43">
        <f t="shared" si="11"/>
        <v>0.68263517808678986</v>
      </c>
      <c r="F34" s="43">
        <f t="shared" si="11"/>
        <v>0.68263517808678986</v>
      </c>
      <c r="G34" s="43">
        <f t="shared" si="11"/>
        <v>0.68263517808678986</v>
      </c>
      <c r="H34" s="43">
        <f t="shared" si="11"/>
        <v>0.68263517808678986</v>
      </c>
      <c r="I34" s="43">
        <f t="shared" si="11"/>
        <v>0.68263517808678986</v>
      </c>
      <c r="J34" s="43">
        <f t="shared" si="11"/>
        <v>0.68263517808678986</v>
      </c>
      <c r="K34" s="43">
        <f t="shared" si="11"/>
        <v>0.47784462466075289</v>
      </c>
      <c r="L34" s="43">
        <f t="shared" si="11"/>
        <v>0.47784462466075289</v>
      </c>
      <c r="M34" s="43">
        <f t="shared" si="11"/>
        <v>0.47784462466075289</v>
      </c>
      <c r="N34" s="43">
        <f t="shared" si="11"/>
        <v>0.47784462466075289</v>
      </c>
    </row>
    <row r="35" spans="1:14" x14ac:dyDescent="0.2">
      <c r="A35" s="513" t="s">
        <v>140</v>
      </c>
      <c r="B35" s="568">
        <f t="shared" ref="B35:N35" si="12">ROUND($B$2*B$32,2)</f>
        <v>5</v>
      </c>
      <c r="C35" s="568">
        <f t="shared" si="12"/>
        <v>5</v>
      </c>
      <c r="D35" s="568">
        <f t="shared" si="12"/>
        <v>5</v>
      </c>
      <c r="E35" s="568">
        <f t="shared" si="12"/>
        <v>5</v>
      </c>
      <c r="F35" s="568">
        <f t="shared" si="12"/>
        <v>5</v>
      </c>
      <c r="G35" s="568">
        <f t="shared" si="12"/>
        <v>5</v>
      </c>
      <c r="H35" s="568">
        <f t="shared" si="12"/>
        <v>5</v>
      </c>
      <c r="I35" s="568">
        <f t="shared" si="12"/>
        <v>5</v>
      </c>
      <c r="J35" s="568">
        <f t="shared" si="12"/>
        <v>5</v>
      </c>
      <c r="K35" s="568">
        <f t="shared" si="12"/>
        <v>3.5</v>
      </c>
      <c r="L35" s="568">
        <f t="shared" si="12"/>
        <v>3.5</v>
      </c>
      <c r="M35" s="521">
        <f t="shared" si="12"/>
        <v>3.5</v>
      </c>
      <c r="N35" s="568">
        <f t="shared" si="12"/>
        <v>3.5</v>
      </c>
    </row>
    <row r="36" spans="1:14" x14ac:dyDescent="0.2">
      <c r="A36" s="513" t="s">
        <v>141</v>
      </c>
      <c r="B36" s="569">
        <f t="shared" ref="B36:I36" si="13">ROUND( $B$2*B$33,2)</f>
        <v>4</v>
      </c>
      <c r="C36" s="569">
        <f t="shared" si="13"/>
        <v>4</v>
      </c>
      <c r="D36" s="569">
        <f t="shared" si="13"/>
        <v>4</v>
      </c>
      <c r="E36" s="569">
        <f t="shared" si="13"/>
        <v>4</v>
      </c>
      <c r="F36" s="569">
        <f t="shared" si="13"/>
        <v>4</v>
      </c>
      <c r="G36" s="569">
        <f t="shared" si="13"/>
        <v>4</v>
      </c>
      <c r="H36" s="569">
        <f t="shared" si="13"/>
        <v>4</v>
      </c>
      <c r="I36" s="569">
        <f t="shared" si="13"/>
        <v>4</v>
      </c>
      <c r="J36" s="569">
        <f>ROUND($B$2*J$33,2)</f>
        <v>4</v>
      </c>
      <c r="K36" s="569">
        <f>ROUND( $B$2*K$33,2)</f>
        <v>2.8</v>
      </c>
      <c r="L36" s="569">
        <f>ROUND( $B$2*L$33,2)</f>
        <v>2.8</v>
      </c>
      <c r="M36" s="636">
        <f>ROUND( $B$2*M$33,2)</f>
        <v>2.8</v>
      </c>
      <c r="N36" s="569">
        <f>ROUND( $B$2*N$33,2)</f>
        <v>2.8</v>
      </c>
    </row>
    <row r="37" spans="1:14" x14ac:dyDescent="0.2">
      <c r="A37" s="634" t="s">
        <v>142</v>
      </c>
      <c r="B37" s="671">
        <f>B34*$B$2</f>
        <v>3.4131758904339495</v>
      </c>
      <c r="C37" s="671">
        <f t="shared" ref="C37:N37" si="14">C34*$B$2</f>
        <v>3.4131758904339495</v>
      </c>
      <c r="D37" s="671">
        <f t="shared" si="14"/>
        <v>3.4131758904339495</v>
      </c>
      <c r="E37" s="671">
        <f t="shared" si="14"/>
        <v>3.4131758904339495</v>
      </c>
      <c r="F37" s="671">
        <f t="shared" si="14"/>
        <v>3.4131758904339495</v>
      </c>
      <c r="G37" s="671">
        <f t="shared" si="14"/>
        <v>3.4131758904339495</v>
      </c>
      <c r="H37" s="671">
        <f t="shared" si="14"/>
        <v>3.4131758904339495</v>
      </c>
      <c r="I37" s="671">
        <f t="shared" si="14"/>
        <v>3.4131758904339495</v>
      </c>
      <c r="J37" s="671">
        <f t="shared" si="14"/>
        <v>3.4131758904339495</v>
      </c>
      <c r="K37" s="671">
        <f t="shared" si="14"/>
        <v>2.3892231233037644</v>
      </c>
      <c r="L37" s="671">
        <f t="shared" si="14"/>
        <v>2.3892231233037644</v>
      </c>
      <c r="M37" s="671">
        <f t="shared" si="14"/>
        <v>2.3892231233037644</v>
      </c>
      <c r="N37" s="671">
        <f t="shared" si="14"/>
        <v>2.3892231233037644</v>
      </c>
    </row>
    <row r="38" spans="1:14" ht="12.75" x14ac:dyDescent="0.2">
      <c r="A38" s="520" t="s">
        <v>143</v>
      </c>
      <c r="B38" s="521"/>
      <c r="C38" s="522"/>
      <c r="D38" s="522"/>
      <c r="E38" s="522"/>
      <c r="F38" s="522"/>
      <c r="G38" s="522"/>
      <c r="H38" s="522"/>
      <c r="I38" s="522"/>
      <c r="J38" s="522"/>
      <c r="K38" s="522"/>
      <c r="L38" s="522"/>
      <c r="M38" s="522"/>
      <c r="N38" s="568"/>
    </row>
    <row r="39" spans="1:14" x14ac:dyDescent="0.2">
      <c r="A39" s="523" t="s">
        <v>144</v>
      </c>
      <c r="B39" s="633">
        <f>B$36*$B177</f>
        <v>2.3000323452659557</v>
      </c>
      <c r="C39" s="633">
        <f t="shared" ref="C39:N48" si="15">C$36*$B177</f>
        <v>2.3000323452659557</v>
      </c>
      <c r="D39" s="633">
        <f t="shared" si="15"/>
        <v>2.3000323452659557</v>
      </c>
      <c r="E39" s="633">
        <f t="shared" si="15"/>
        <v>2.3000323452659557</v>
      </c>
      <c r="F39" s="633">
        <f t="shared" si="15"/>
        <v>2.3000323452659557</v>
      </c>
      <c r="G39" s="633">
        <f t="shared" si="15"/>
        <v>2.3000323452659557</v>
      </c>
      <c r="H39" s="633">
        <f t="shared" si="15"/>
        <v>2.3000323452659557</v>
      </c>
      <c r="I39" s="633">
        <f t="shared" si="15"/>
        <v>2.3000323452659557</v>
      </c>
      <c r="J39" s="633">
        <f t="shared" si="15"/>
        <v>2.3000323452659557</v>
      </c>
      <c r="K39" s="633">
        <f t="shared" si="15"/>
        <v>1.6100226416861689</v>
      </c>
      <c r="L39" s="633">
        <f t="shared" si="15"/>
        <v>1.6100226416861689</v>
      </c>
      <c r="M39" s="633">
        <f t="shared" si="15"/>
        <v>1.6100226416861689</v>
      </c>
      <c r="N39" s="633">
        <f t="shared" si="15"/>
        <v>1.6100226416861689</v>
      </c>
    </row>
    <row r="40" spans="1:14" x14ac:dyDescent="0.2">
      <c r="A40" s="523" t="s">
        <v>145</v>
      </c>
      <c r="B40" s="633">
        <f t="shared" ref="B40:N48" si="16">B$36*$B178</f>
        <v>0</v>
      </c>
      <c r="C40" s="633">
        <f t="shared" si="16"/>
        <v>0</v>
      </c>
      <c r="D40" s="633">
        <f t="shared" si="16"/>
        <v>0</v>
      </c>
      <c r="E40" s="633">
        <f t="shared" si="16"/>
        <v>0</v>
      </c>
      <c r="F40" s="633">
        <f t="shared" si="16"/>
        <v>0</v>
      </c>
      <c r="G40" s="633">
        <f t="shared" si="16"/>
        <v>0</v>
      </c>
      <c r="H40" s="633">
        <f t="shared" si="16"/>
        <v>0</v>
      </c>
      <c r="I40" s="633">
        <f t="shared" si="16"/>
        <v>0</v>
      </c>
      <c r="J40" s="633">
        <f t="shared" si="16"/>
        <v>0</v>
      </c>
      <c r="K40" s="633">
        <f t="shared" si="16"/>
        <v>0</v>
      </c>
      <c r="L40" s="633">
        <f t="shared" si="16"/>
        <v>0</v>
      </c>
      <c r="M40" s="633">
        <f t="shared" si="16"/>
        <v>0</v>
      </c>
      <c r="N40" s="633">
        <f t="shared" si="16"/>
        <v>0</v>
      </c>
    </row>
    <row r="41" spans="1:14" x14ac:dyDescent="0.2">
      <c r="A41" s="523" t="s">
        <v>146</v>
      </c>
      <c r="B41" s="633">
        <f t="shared" si="16"/>
        <v>3.1920298922946557</v>
      </c>
      <c r="C41" s="633">
        <f t="shared" si="15"/>
        <v>3.1920298922946557</v>
      </c>
      <c r="D41" s="633">
        <f t="shared" si="15"/>
        <v>3.1920298922946557</v>
      </c>
      <c r="E41" s="633">
        <f t="shared" si="15"/>
        <v>3.1920298922946557</v>
      </c>
      <c r="F41" s="633">
        <f t="shared" si="15"/>
        <v>3.1920298922946557</v>
      </c>
      <c r="G41" s="633">
        <f t="shared" si="15"/>
        <v>3.1920298922946557</v>
      </c>
      <c r="H41" s="633">
        <f t="shared" si="15"/>
        <v>3.1920298922946557</v>
      </c>
      <c r="I41" s="633">
        <f t="shared" si="15"/>
        <v>3.1920298922946557</v>
      </c>
      <c r="J41" s="633">
        <f t="shared" si="15"/>
        <v>3.1920298922946557</v>
      </c>
      <c r="K41" s="633">
        <f t="shared" si="15"/>
        <v>2.2344209246062587</v>
      </c>
      <c r="L41" s="633">
        <f t="shared" si="15"/>
        <v>2.2344209246062587</v>
      </c>
      <c r="M41" s="633">
        <f t="shared" si="15"/>
        <v>2.2344209246062587</v>
      </c>
      <c r="N41" s="633">
        <f t="shared" si="15"/>
        <v>2.2344209246062587</v>
      </c>
    </row>
    <row r="42" spans="1:14" x14ac:dyDescent="0.2">
      <c r="A42" s="523" t="s">
        <v>147</v>
      </c>
      <c r="B42" s="633">
        <f t="shared" si="16"/>
        <v>3.1920298922946557</v>
      </c>
      <c r="C42" s="633">
        <f t="shared" si="15"/>
        <v>3.1920298922946557</v>
      </c>
      <c r="D42" s="633">
        <f t="shared" si="15"/>
        <v>3.1920298922946557</v>
      </c>
      <c r="E42" s="633">
        <f t="shared" si="15"/>
        <v>3.1920298922946557</v>
      </c>
      <c r="F42" s="633">
        <f t="shared" si="15"/>
        <v>3.1920298922946557</v>
      </c>
      <c r="G42" s="633">
        <f t="shared" si="15"/>
        <v>3.1920298922946557</v>
      </c>
      <c r="H42" s="633">
        <f t="shared" si="15"/>
        <v>3.1920298922946557</v>
      </c>
      <c r="I42" s="633">
        <f t="shared" si="15"/>
        <v>3.1920298922946557</v>
      </c>
      <c r="J42" s="633">
        <f t="shared" si="15"/>
        <v>3.1920298922946557</v>
      </c>
      <c r="K42" s="633">
        <f t="shared" si="15"/>
        <v>2.2344209246062587</v>
      </c>
      <c r="L42" s="633">
        <f t="shared" si="15"/>
        <v>2.2344209246062587</v>
      </c>
      <c r="M42" s="633">
        <f t="shared" si="15"/>
        <v>2.2344209246062587</v>
      </c>
      <c r="N42" s="633">
        <f t="shared" si="15"/>
        <v>2.2344209246062587</v>
      </c>
    </row>
    <row r="43" spans="1:14" x14ac:dyDescent="0.2">
      <c r="A43" s="523" t="s">
        <v>148</v>
      </c>
      <c r="B43" s="633">
        <f t="shared" si="16"/>
        <v>2.0226299774754009</v>
      </c>
      <c r="C43" s="633">
        <f t="shared" si="15"/>
        <v>2.0226299774754009</v>
      </c>
      <c r="D43" s="633">
        <f t="shared" si="15"/>
        <v>2.0226299774754009</v>
      </c>
      <c r="E43" s="633">
        <f t="shared" si="15"/>
        <v>2.0226299774754009</v>
      </c>
      <c r="F43" s="633">
        <f t="shared" si="15"/>
        <v>2.0226299774754009</v>
      </c>
      <c r="G43" s="633">
        <f t="shared" si="15"/>
        <v>2.0226299774754009</v>
      </c>
      <c r="H43" s="633">
        <f t="shared" si="15"/>
        <v>2.0226299774754009</v>
      </c>
      <c r="I43" s="633">
        <f t="shared" si="15"/>
        <v>2.0226299774754009</v>
      </c>
      <c r="J43" s="633">
        <f t="shared" si="15"/>
        <v>2.0226299774754009</v>
      </c>
      <c r="K43" s="633">
        <f t="shared" si="15"/>
        <v>1.4158409842327806</v>
      </c>
      <c r="L43" s="633">
        <f t="shared" si="15"/>
        <v>1.4158409842327806</v>
      </c>
      <c r="M43" s="633">
        <f t="shared" si="15"/>
        <v>1.4158409842327806</v>
      </c>
      <c r="N43" s="633">
        <f t="shared" si="15"/>
        <v>1.4158409842327806</v>
      </c>
    </row>
    <row r="44" spans="1:14" x14ac:dyDescent="0.2">
      <c r="A44" s="523" t="s">
        <v>149</v>
      </c>
      <c r="B44" s="633">
        <f t="shared" si="16"/>
        <v>2.0226299774754009</v>
      </c>
      <c r="C44" s="633">
        <f t="shared" si="15"/>
        <v>2.0226299774754009</v>
      </c>
      <c r="D44" s="633">
        <f t="shared" si="15"/>
        <v>2.0226299774754009</v>
      </c>
      <c r="E44" s="633">
        <f t="shared" si="15"/>
        <v>2.0226299774754009</v>
      </c>
      <c r="F44" s="633">
        <f t="shared" si="15"/>
        <v>2.0226299774754009</v>
      </c>
      <c r="G44" s="633">
        <f t="shared" si="15"/>
        <v>2.0226299774754009</v>
      </c>
      <c r="H44" s="633">
        <f t="shared" si="15"/>
        <v>2.0226299774754009</v>
      </c>
      <c r="I44" s="633">
        <f t="shared" si="15"/>
        <v>2.0226299774754009</v>
      </c>
      <c r="J44" s="633">
        <f t="shared" si="15"/>
        <v>2.0226299774754009</v>
      </c>
      <c r="K44" s="633">
        <f t="shared" si="15"/>
        <v>1.4158409842327806</v>
      </c>
      <c r="L44" s="633">
        <f t="shared" si="15"/>
        <v>1.4158409842327806</v>
      </c>
      <c r="M44" s="633">
        <f t="shared" si="15"/>
        <v>1.4158409842327806</v>
      </c>
      <c r="N44" s="633">
        <f t="shared" si="15"/>
        <v>1.4158409842327806</v>
      </c>
    </row>
    <row r="45" spans="1:14" x14ac:dyDescent="0.2">
      <c r="A45" s="523" t="s">
        <v>150</v>
      </c>
      <c r="B45" s="633">
        <f t="shared" si="16"/>
        <v>0</v>
      </c>
      <c r="C45" s="633">
        <f t="shared" si="15"/>
        <v>0</v>
      </c>
      <c r="D45" s="633">
        <f t="shared" si="15"/>
        <v>0</v>
      </c>
      <c r="E45" s="633">
        <f t="shared" si="15"/>
        <v>0</v>
      </c>
      <c r="F45" s="633">
        <f t="shared" si="15"/>
        <v>0</v>
      </c>
      <c r="G45" s="633">
        <f t="shared" si="15"/>
        <v>0</v>
      </c>
      <c r="H45" s="633">
        <f t="shared" si="15"/>
        <v>0</v>
      </c>
      <c r="I45" s="633">
        <f t="shared" si="15"/>
        <v>0</v>
      </c>
      <c r="J45" s="633">
        <f t="shared" si="15"/>
        <v>0</v>
      </c>
      <c r="K45" s="633">
        <f t="shared" si="15"/>
        <v>0</v>
      </c>
      <c r="L45" s="633">
        <f t="shared" si="15"/>
        <v>0</v>
      </c>
      <c r="M45" s="633">
        <f t="shared" si="15"/>
        <v>0</v>
      </c>
      <c r="N45" s="633">
        <f t="shared" si="15"/>
        <v>0</v>
      </c>
    </row>
    <row r="46" spans="1:14" x14ac:dyDescent="0.2">
      <c r="A46" s="523" t="s">
        <v>151</v>
      </c>
      <c r="B46" s="633">
        <f t="shared" si="16"/>
        <v>3.0474977790071911</v>
      </c>
      <c r="C46" s="633">
        <f t="shared" si="15"/>
        <v>3.0474977790071911</v>
      </c>
      <c r="D46" s="633">
        <f t="shared" si="15"/>
        <v>3.0474977790071911</v>
      </c>
      <c r="E46" s="633">
        <f t="shared" si="15"/>
        <v>3.0474977790071911</v>
      </c>
      <c r="F46" s="633">
        <f t="shared" si="15"/>
        <v>3.0474977790071911</v>
      </c>
      <c r="G46" s="633">
        <f t="shared" si="15"/>
        <v>3.0474977790071911</v>
      </c>
      <c r="H46" s="633">
        <f t="shared" si="15"/>
        <v>3.0474977790071911</v>
      </c>
      <c r="I46" s="633">
        <f t="shared" si="15"/>
        <v>3.0474977790071911</v>
      </c>
      <c r="J46" s="633">
        <f t="shared" si="15"/>
        <v>3.0474977790071911</v>
      </c>
      <c r="K46" s="633">
        <f t="shared" si="15"/>
        <v>2.1332484453050338</v>
      </c>
      <c r="L46" s="633">
        <f t="shared" si="15"/>
        <v>2.1332484453050338</v>
      </c>
      <c r="M46" s="633">
        <f t="shared" si="15"/>
        <v>2.1332484453050338</v>
      </c>
      <c r="N46" s="633">
        <f t="shared" si="15"/>
        <v>2.1332484453050338</v>
      </c>
    </row>
    <row r="47" spans="1:14" x14ac:dyDescent="0.2">
      <c r="A47" s="523" t="s">
        <v>152</v>
      </c>
      <c r="B47" s="633">
        <f>IF(B$13="Deploy",B$36,B$36*$B185)</f>
        <v>4</v>
      </c>
      <c r="C47" s="633">
        <f t="shared" ref="C47:N47" si="17">IF(C$13="Deploy",C$36,C$36*$B185)</f>
        <v>4</v>
      </c>
      <c r="D47" s="633">
        <f t="shared" si="17"/>
        <v>0.78015025181009101</v>
      </c>
      <c r="E47" s="633">
        <f t="shared" si="17"/>
        <v>0.78015025181009101</v>
      </c>
      <c r="F47" s="633">
        <f t="shared" si="17"/>
        <v>0.78015025181009101</v>
      </c>
      <c r="G47" s="633">
        <f t="shared" si="17"/>
        <v>4</v>
      </c>
      <c r="H47" s="633">
        <f t="shared" si="17"/>
        <v>4</v>
      </c>
      <c r="I47" s="633">
        <f t="shared" si="17"/>
        <v>4</v>
      </c>
      <c r="J47" s="633">
        <f t="shared" si="17"/>
        <v>0.78015025181009101</v>
      </c>
      <c r="K47" s="633">
        <f t="shared" si="17"/>
        <v>0.54610517626706367</v>
      </c>
      <c r="L47" s="633">
        <f t="shared" si="17"/>
        <v>0.54610517626706367</v>
      </c>
      <c r="M47" s="633">
        <f t="shared" si="17"/>
        <v>0.54610517626706367</v>
      </c>
      <c r="N47" s="633">
        <f t="shared" si="17"/>
        <v>0.54610517626706367</v>
      </c>
    </row>
    <row r="48" spans="1:14" ht="12.75" x14ac:dyDescent="0.2">
      <c r="A48" s="422" t="s">
        <v>153</v>
      </c>
      <c r="B48" s="633">
        <f t="shared" si="16"/>
        <v>4</v>
      </c>
      <c r="C48" s="633">
        <f t="shared" si="15"/>
        <v>4</v>
      </c>
      <c r="D48" s="633">
        <f t="shared" si="15"/>
        <v>4</v>
      </c>
      <c r="E48" s="633">
        <f t="shared" si="15"/>
        <v>4</v>
      </c>
      <c r="F48" s="633">
        <f t="shared" si="15"/>
        <v>4</v>
      </c>
      <c r="G48" s="633">
        <f t="shared" si="15"/>
        <v>4</v>
      </c>
      <c r="H48" s="633">
        <f t="shared" si="15"/>
        <v>4</v>
      </c>
      <c r="I48" s="633">
        <f t="shared" si="15"/>
        <v>4</v>
      </c>
      <c r="J48" s="633">
        <f t="shared" si="15"/>
        <v>4</v>
      </c>
      <c r="K48" s="633">
        <f t="shared" si="15"/>
        <v>2.8</v>
      </c>
      <c r="L48" s="633">
        <f t="shared" si="15"/>
        <v>2.8</v>
      </c>
      <c r="M48" s="633">
        <f t="shared" si="15"/>
        <v>2.8</v>
      </c>
      <c r="N48" s="633">
        <f t="shared" si="15"/>
        <v>2.8</v>
      </c>
    </row>
    <row r="49" spans="1:14" ht="12.75" x14ac:dyDescent="0.2">
      <c r="A49" s="508" t="s">
        <v>154</v>
      </c>
      <c r="B49" s="86"/>
      <c r="C49" s="47"/>
      <c r="D49" s="47"/>
      <c r="E49" s="47"/>
      <c r="F49" s="47"/>
      <c r="G49" s="47"/>
      <c r="H49" s="47"/>
      <c r="I49" s="47"/>
      <c r="J49" s="48"/>
      <c r="K49" s="48"/>
      <c r="L49" s="47"/>
      <c r="M49" s="47"/>
      <c r="N49" s="525"/>
    </row>
    <row r="50" spans="1:14" x14ac:dyDescent="0.2">
      <c r="A50" s="526" t="s">
        <v>155</v>
      </c>
      <c r="B50" s="524">
        <f t="shared" ref="B50:N50" si="18">10*B$32</f>
        <v>10</v>
      </c>
      <c r="C50" s="524">
        <f t="shared" si="18"/>
        <v>10</v>
      </c>
      <c r="D50" s="524">
        <f t="shared" si="18"/>
        <v>10</v>
      </c>
      <c r="E50" s="524">
        <f t="shared" si="18"/>
        <v>10</v>
      </c>
      <c r="F50" s="524">
        <f t="shared" si="18"/>
        <v>10</v>
      </c>
      <c r="G50" s="524">
        <f t="shared" si="18"/>
        <v>10</v>
      </c>
      <c r="H50" s="524">
        <f t="shared" si="18"/>
        <v>10</v>
      </c>
      <c r="I50" s="524">
        <f t="shared" si="18"/>
        <v>10</v>
      </c>
      <c r="J50" s="524">
        <f t="shared" si="18"/>
        <v>10</v>
      </c>
      <c r="K50" s="524">
        <f t="shared" si="18"/>
        <v>7</v>
      </c>
      <c r="L50" s="524">
        <f t="shared" si="18"/>
        <v>7</v>
      </c>
      <c r="M50" s="86">
        <f t="shared" si="18"/>
        <v>7</v>
      </c>
      <c r="N50" s="524">
        <f t="shared" si="18"/>
        <v>7</v>
      </c>
    </row>
    <row r="51" spans="1:14" x14ac:dyDescent="0.2">
      <c r="A51" s="294" t="s">
        <v>156</v>
      </c>
      <c r="B51" s="52">
        <f t="shared" ref="B51:N51" si="19">B50*B33</f>
        <v>8</v>
      </c>
      <c r="C51" s="52">
        <f t="shared" si="19"/>
        <v>8</v>
      </c>
      <c r="D51" s="52">
        <f t="shared" si="19"/>
        <v>8</v>
      </c>
      <c r="E51" s="52">
        <f t="shared" si="19"/>
        <v>8</v>
      </c>
      <c r="F51" s="52">
        <f t="shared" si="19"/>
        <v>8</v>
      </c>
      <c r="G51" s="52">
        <f t="shared" si="19"/>
        <v>8</v>
      </c>
      <c r="H51" s="52">
        <f t="shared" si="19"/>
        <v>8</v>
      </c>
      <c r="I51" s="52">
        <f t="shared" si="19"/>
        <v>8</v>
      </c>
      <c r="J51" s="52">
        <f t="shared" si="19"/>
        <v>8</v>
      </c>
      <c r="K51" s="52">
        <f t="shared" si="19"/>
        <v>3.9199999999999995</v>
      </c>
      <c r="L51" s="52">
        <f t="shared" si="19"/>
        <v>3.9199999999999995</v>
      </c>
      <c r="M51" s="646">
        <f t="shared" si="19"/>
        <v>3.9199999999999995</v>
      </c>
      <c r="N51" s="52">
        <f t="shared" si="19"/>
        <v>3.9199999999999995</v>
      </c>
    </row>
    <row r="52" spans="1:14" x14ac:dyDescent="0.2">
      <c r="A52" s="526" t="s">
        <v>157</v>
      </c>
      <c r="B52" s="524">
        <f t="shared" ref="B52:N52" si="20">3*B32</f>
        <v>3</v>
      </c>
      <c r="C52" s="524">
        <f t="shared" si="20"/>
        <v>3</v>
      </c>
      <c r="D52" s="524">
        <f t="shared" si="20"/>
        <v>3</v>
      </c>
      <c r="E52" s="524">
        <f t="shared" si="20"/>
        <v>3</v>
      </c>
      <c r="F52" s="524">
        <f t="shared" si="20"/>
        <v>3</v>
      </c>
      <c r="G52" s="524">
        <f t="shared" si="20"/>
        <v>3</v>
      </c>
      <c r="H52" s="524">
        <f t="shared" si="20"/>
        <v>3</v>
      </c>
      <c r="I52" s="524">
        <f t="shared" si="20"/>
        <v>3</v>
      </c>
      <c r="J52" s="524">
        <f t="shared" si="20"/>
        <v>3</v>
      </c>
      <c r="K52" s="524">
        <f t="shared" si="20"/>
        <v>2.0999999999999996</v>
      </c>
      <c r="L52" s="524">
        <f t="shared" si="20"/>
        <v>2.0999999999999996</v>
      </c>
      <c r="M52" s="86">
        <f t="shared" si="20"/>
        <v>2.0999999999999996</v>
      </c>
      <c r="N52" s="524">
        <f t="shared" si="20"/>
        <v>2.0999999999999996</v>
      </c>
    </row>
    <row r="53" spans="1:14" x14ac:dyDescent="0.2">
      <c r="A53" s="294" t="s">
        <v>158</v>
      </c>
      <c r="B53" s="52">
        <f t="shared" ref="B53:N53" si="21">B52*B33</f>
        <v>2.4000000000000004</v>
      </c>
      <c r="C53" s="52">
        <f t="shared" si="21"/>
        <v>2.4000000000000004</v>
      </c>
      <c r="D53" s="52">
        <f t="shared" si="21"/>
        <v>2.4000000000000004</v>
      </c>
      <c r="E53" s="52">
        <f t="shared" si="21"/>
        <v>2.4000000000000004</v>
      </c>
      <c r="F53" s="52">
        <f t="shared" si="21"/>
        <v>2.4000000000000004</v>
      </c>
      <c r="G53" s="52">
        <f t="shared" si="21"/>
        <v>2.4000000000000004</v>
      </c>
      <c r="H53" s="52">
        <f t="shared" si="21"/>
        <v>2.4000000000000004</v>
      </c>
      <c r="I53" s="52">
        <f t="shared" si="21"/>
        <v>2.4000000000000004</v>
      </c>
      <c r="J53" s="52">
        <f t="shared" si="21"/>
        <v>2.4000000000000004</v>
      </c>
      <c r="K53" s="52">
        <f t="shared" si="21"/>
        <v>1.1759999999999997</v>
      </c>
      <c r="L53" s="52">
        <f t="shared" si="21"/>
        <v>1.1759999999999997</v>
      </c>
      <c r="M53" s="646">
        <f t="shared" si="21"/>
        <v>1.1759999999999997</v>
      </c>
      <c r="N53" s="52">
        <f t="shared" si="21"/>
        <v>1.1759999999999997</v>
      </c>
    </row>
    <row r="54" spans="1:14" x14ac:dyDescent="0.2">
      <c r="A54" s="526" t="s">
        <v>159</v>
      </c>
      <c r="B54" s="524">
        <f t="shared" ref="B54:N54" si="22">10*B32</f>
        <v>10</v>
      </c>
      <c r="C54" s="524">
        <f t="shared" si="22"/>
        <v>10</v>
      </c>
      <c r="D54" s="524">
        <f t="shared" si="22"/>
        <v>10</v>
      </c>
      <c r="E54" s="524">
        <f t="shared" si="22"/>
        <v>10</v>
      </c>
      <c r="F54" s="524">
        <f t="shared" si="22"/>
        <v>10</v>
      </c>
      <c r="G54" s="524">
        <f t="shared" si="22"/>
        <v>10</v>
      </c>
      <c r="H54" s="524">
        <f t="shared" si="22"/>
        <v>10</v>
      </c>
      <c r="I54" s="524">
        <f t="shared" si="22"/>
        <v>10</v>
      </c>
      <c r="J54" s="524">
        <f t="shared" si="22"/>
        <v>10</v>
      </c>
      <c r="K54" s="524">
        <f t="shared" si="22"/>
        <v>7</v>
      </c>
      <c r="L54" s="524">
        <f t="shared" si="22"/>
        <v>7</v>
      </c>
      <c r="M54" s="86">
        <f t="shared" si="22"/>
        <v>7</v>
      </c>
      <c r="N54" s="524">
        <f t="shared" si="22"/>
        <v>7</v>
      </c>
    </row>
    <row r="55" spans="1:14" x14ac:dyDescent="0.2">
      <c r="A55" s="294" t="s">
        <v>160</v>
      </c>
      <c r="B55" s="52">
        <f t="shared" ref="B55:N55" si="23">B54*B33</f>
        <v>8</v>
      </c>
      <c r="C55" s="52">
        <f t="shared" si="23"/>
        <v>8</v>
      </c>
      <c r="D55" s="52">
        <f t="shared" si="23"/>
        <v>8</v>
      </c>
      <c r="E55" s="52">
        <f t="shared" si="23"/>
        <v>8</v>
      </c>
      <c r="F55" s="52">
        <f t="shared" si="23"/>
        <v>8</v>
      </c>
      <c r="G55" s="52">
        <f t="shared" si="23"/>
        <v>8</v>
      </c>
      <c r="H55" s="52">
        <f t="shared" si="23"/>
        <v>8</v>
      </c>
      <c r="I55" s="52">
        <f t="shared" si="23"/>
        <v>8</v>
      </c>
      <c r="J55" s="52">
        <f t="shared" si="23"/>
        <v>8</v>
      </c>
      <c r="K55" s="52">
        <f t="shared" si="23"/>
        <v>3.9199999999999995</v>
      </c>
      <c r="L55" s="52">
        <f t="shared" si="23"/>
        <v>3.9199999999999995</v>
      </c>
      <c r="M55" s="646">
        <f t="shared" si="23"/>
        <v>3.9199999999999995</v>
      </c>
      <c r="N55" s="52">
        <f t="shared" si="23"/>
        <v>3.9199999999999995</v>
      </c>
    </row>
    <row r="56" spans="1:14" x14ac:dyDescent="0.2">
      <c r="A56" s="526" t="s">
        <v>161</v>
      </c>
      <c r="B56" s="524">
        <f t="shared" ref="B56:N56" si="24">10*B32</f>
        <v>10</v>
      </c>
      <c r="C56" s="524">
        <f t="shared" si="24"/>
        <v>10</v>
      </c>
      <c r="D56" s="524">
        <f t="shared" si="24"/>
        <v>10</v>
      </c>
      <c r="E56" s="524">
        <f t="shared" si="24"/>
        <v>10</v>
      </c>
      <c r="F56" s="524">
        <f t="shared" si="24"/>
        <v>10</v>
      </c>
      <c r="G56" s="524">
        <f t="shared" si="24"/>
        <v>10</v>
      </c>
      <c r="H56" s="524">
        <f t="shared" si="24"/>
        <v>10</v>
      </c>
      <c r="I56" s="524">
        <f t="shared" si="24"/>
        <v>10</v>
      </c>
      <c r="J56" s="524">
        <f t="shared" si="24"/>
        <v>10</v>
      </c>
      <c r="K56" s="524">
        <f t="shared" si="24"/>
        <v>7</v>
      </c>
      <c r="L56" s="524">
        <f t="shared" si="24"/>
        <v>7</v>
      </c>
      <c r="M56" s="86">
        <f t="shared" si="24"/>
        <v>7</v>
      </c>
      <c r="N56" s="524">
        <f t="shared" si="24"/>
        <v>7</v>
      </c>
    </row>
    <row r="57" spans="1:14" x14ac:dyDescent="0.2">
      <c r="A57" s="294" t="s">
        <v>162</v>
      </c>
      <c r="B57" s="52">
        <f t="shared" ref="B57:N57" si="25">B56*B$33</f>
        <v>8</v>
      </c>
      <c r="C57" s="52">
        <f t="shared" si="25"/>
        <v>8</v>
      </c>
      <c r="D57" s="52">
        <f t="shared" si="25"/>
        <v>8</v>
      </c>
      <c r="E57" s="52">
        <f t="shared" si="25"/>
        <v>8</v>
      </c>
      <c r="F57" s="52">
        <f t="shared" si="25"/>
        <v>8</v>
      </c>
      <c r="G57" s="52">
        <f t="shared" si="25"/>
        <v>8</v>
      </c>
      <c r="H57" s="52">
        <f t="shared" si="25"/>
        <v>8</v>
      </c>
      <c r="I57" s="52">
        <f t="shared" si="25"/>
        <v>8</v>
      </c>
      <c r="J57" s="52">
        <f t="shared" si="25"/>
        <v>8</v>
      </c>
      <c r="K57" s="52">
        <f t="shared" si="25"/>
        <v>3.9199999999999995</v>
      </c>
      <c r="L57" s="52">
        <f t="shared" si="25"/>
        <v>3.9199999999999995</v>
      </c>
      <c r="M57" s="646">
        <f t="shared" si="25"/>
        <v>3.9199999999999995</v>
      </c>
      <c r="N57" s="52">
        <f t="shared" si="25"/>
        <v>3.9199999999999995</v>
      </c>
    </row>
    <row r="58" spans="1:14" x14ac:dyDescent="0.2">
      <c r="A58" s="526" t="s">
        <v>163</v>
      </c>
      <c r="B58" s="524">
        <v>0</v>
      </c>
      <c r="C58" s="524">
        <v>1</v>
      </c>
      <c r="D58" s="524">
        <v>2</v>
      </c>
      <c r="E58" s="524">
        <v>3</v>
      </c>
      <c r="F58" s="524">
        <v>4</v>
      </c>
      <c r="G58" s="524">
        <v>5</v>
      </c>
      <c r="H58" s="524">
        <v>6</v>
      </c>
      <c r="I58" s="524">
        <v>7</v>
      </c>
      <c r="J58" s="524">
        <v>8</v>
      </c>
      <c r="K58" s="524">
        <v>9</v>
      </c>
      <c r="L58" s="524">
        <v>10</v>
      </c>
      <c r="M58" s="86">
        <v>11</v>
      </c>
      <c r="N58" s="524">
        <v>12</v>
      </c>
    </row>
    <row r="59" spans="1:14" x14ac:dyDescent="0.2">
      <c r="A59" s="294" t="s">
        <v>164</v>
      </c>
      <c r="B59" s="52">
        <f t="shared" ref="B59:N59" si="26">B58*B33</f>
        <v>0</v>
      </c>
      <c r="C59" s="52">
        <f t="shared" si="26"/>
        <v>0.8</v>
      </c>
      <c r="D59" s="52">
        <f t="shared" si="26"/>
        <v>1.6</v>
      </c>
      <c r="E59" s="52">
        <f t="shared" si="26"/>
        <v>2.4000000000000004</v>
      </c>
      <c r="F59" s="52">
        <f t="shared" si="26"/>
        <v>3.2</v>
      </c>
      <c r="G59" s="52">
        <f t="shared" si="26"/>
        <v>4</v>
      </c>
      <c r="H59" s="52">
        <f t="shared" si="26"/>
        <v>4.8000000000000007</v>
      </c>
      <c r="I59" s="52">
        <f t="shared" si="26"/>
        <v>5.6000000000000005</v>
      </c>
      <c r="J59" s="52">
        <f t="shared" si="26"/>
        <v>6.4</v>
      </c>
      <c r="K59" s="52">
        <f t="shared" si="26"/>
        <v>5.0399999999999991</v>
      </c>
      <c r="L59" s="52">
        <f t="shared" si="26"/>
        <v>5.6</v>
      </c>
      <c r="M59" s="646">
        <f t="shared" si="26"/>
        <v>6.1599999999999993</v>
      </c>
      <c r="N59" s="52">
        <f t="shared" si="26"/>
        <v>6.7199999999999989</v>
      </c>
    </row>
    <row r="60" spans="1:14" ht="12.75" x14ac:dyDescent="0.2">
      <c r="A60" s="508" t="s">
        <v>165</v>
      </c>
      <c r="B60" s="117"/>
      <c r="C60" s="53"/>
      <c r="D60" s="53"/>
      <c r="E60" s="53"/>
      <c r="F60" s="53"/>
      <c r="G60" s="53"/>
      <c r="H60" s="53"/>
      <c r="I60" s="53"/>
      <c r="J60" s="53"/>
      <c r="K60" s="53"/>
      <c r="L60" s="53"/>
      <c r="M60" s="53"/>
      <c r="N60" s="529"/>
    </row>
    <row r="61" spans="1:14" s="493" customFormat="1" x14ac:dyDescent="0.2">
      <c r="A61" s="34" t="str">
        <f t="shared" ref="A61:A62" si="27">A110</f>
        <v>Pilot Upper Limit</v>
      </c>
      <c r="B61" s="528">
        <f t="shared" ref="B61:N61" si="28">$B110</f>
        <v>18</v>
      </c>
      <c r="C61" s="528">
        <f t="shared" si="28"/>
        <v>18</v>
      </c>
      <c r="D61" s="528">
        <f t="shared" si="28"/>
        <v>18</v>
      </c>
      <c r="E61" s="528">
        <f t="shared" si="28"/>
        <v>18</v>
      </c>
      <c r="F61" s="528">
        <f t="shared" si="28"/>
        <v>18</v>
      </c>
      <c r="G61" s="528">
        <f t="shared" si="28"/>
        <v>18</v>
      </c>
      <c r="H61" s="528">
        <f t="shared" si="28"/>
        <v>18</v>
      </c>
      <c r="I61" s="528">
        <f t="shared" si="28"/>
        <v>18</v>
      </c>
      <c r="J61" s="528">
        <f t="shared" si="28"/>
        <v>18</v>
      </c>
      <c r="K61" s="528">
        <f t="shared" si="28"/>
        <v>18</v>
      </c>
      <c r="L61" s="528">
        <f t="shared" si="28"/>
        <v>18</v>
      </c>
      <c r="M61" s="647">
        <f t="shared" si="28"/>
        <v>18</v>
      </c>
      <c r="N61" s="528">
        <f t="shared" si="28"/>
        <v>18</v>
      </c>
    </row>
    <row r="62" spans="1:14" s="493" customFormat="1" x14ac:dyDescent="0.2">
      <c r="A62" s="34" t="str">
        <f t="shared" si="27"/>
        <v>Pilot Lower Limit</v>
      </c>
      <c r="B62" s="529">
        <f t="shared" ref="B62:N62" si="29">IF($B111 = 0,"N/A",ROUNDUP(IF(B$13="Deploy",MAX((B$104/100)*$B111,$B111),(B$104/100)*$B111),0))</f>
        <v>18</v>
      </c>
      <c r="C62" s="529">
        <f t="shared" si="29"/>
        <v>18</v>
      </c>
      <c r="D62" s="529">
        <f t="shared" si="29"/>
        <v>16</v>
      </c>
      <c r="E62" s="529">
        <f t="shared" si="29"/>
        <v>16</v>
      </c>
      <c r="F62" s="529">
        <f t="shared" si="29"/>
        <v>15</v>
      </c>
      <c r="G62" s="529">
        <f t="shared" si="29"/>
        <v>18</v>
      </c>
      <c r="H62" s="529">
        <f t="shared" si="29"/>
        <v>18</v>
      </c>
      <c r="I62" s="529">
        <f t="shared" si="29"/>
        <v>18</v>
      </c>
      <c r="J62" s="529">
        <f t="shared" si="29"/>
        <v>16</v>
      </c>
      <c r="K62" s="529">
        <f t="shared" si="29"/>
        <v>16</v>
      </c>
      <c r="L62" s="529">
        <f t="shared" si="29"/>
        <v>15</v>
      </c>
      <c r="M62" s="117">
        <f t="shared" si="29"/>
        <v>15</v>
      </c>
      <c r="N62" s="529">
        <f t="shared" si="29"/>
        <v>6</v>
      </c>
    </row>
    <row r="63" spans="1:14" s="493" customFormat="1" x14ac:dyDescent="0.2">
      <c r="A63" s="34" t="str">
        <f>A112</f>
        <v>MRWMC Pilots</v>
      </c>
      <c r="B63" s="529">
        <f t="shared" ref="B63:N63" si="30">IF($B112 = 0,"N/A",ROUNDUP(IF(B$13="Deploy",MAX((B$104/100)*$B112,$B112),(B$104/100)*$B112),0))</f>
        <v>1</v>
      </c>
      <c r="C63" s="529">
        <f t="shared" si="30"/>
        <v>1</v>
      </c>
      <c r="D63" s="529">
        <f t="shared" si="30"/>
        <v>1</v>
      </c>
      <c r="E63" s="529">
        <f t="shared" si="30"/>
        <v>1</v>
      </c>
      <c r="F63" s="529">
        <f t="shared" si="30"/>
        <v>1</v>
      </c>
      <c r="G63" s="529">
        <f t="shared" si="30"/>
        <v>1</v>
      </c>
      <c r="H63" s="529">
        <f t="shared" si="30"/>
        <v>1</v>
      </c>
      <c r="I63" s="529">
        <f t="shared" si="30"/>
        <v>1</v>
      </c>
      <c r="J63" s="529">
        <f t="shared" si="30"/>
        <v>1</v>
      </c>
      <c r="K63" s="529">
        <f t="shared" si="30"/>
        <v>1</v>
      </c>
      <c r="L63" s="529">
        <f t="shared" si="30"/>
        <v>1</v>
      </c>
      <c r="M63" s="117">
        <f t="shared" si="30"/>
        <v>1</v>
      </c>
      <c r="N63" s="529">
        <f t="shared" si="30"/>
        <v>1</v>
      </c>
    </row>
    <row r="64" spans="1:14" x14ac:dyDescent="0.2">
      <c r="A64" s="34" t="str">
        <f>A113</f>
        <v>≥ Level 4 Pilots</v>
      </c>
      <c r="B64" s="529">
        <f t="shared" ref="B64:N64" si="31">IF($B113 = 0,"N/A",ROUNDUP(IF(B$13="Deploy",MAX((B$104/100)*$B113,$B113),(B$104/100)*$B113),0))</f>
        <v>2</v>
      </c>
      <c r="C64" s="529">
        <f t="shared" si="31"/>
        <v>2</v>
      </c>
      <c r="D64" s="529">
        <f t="shared" si="31"/>
        <v>2</v>
      </c>
      <c r="E64" s="529">
        <f t="shared" si="31"/>
        <v>2</v>
      </c>
      <c r="F64" s="529">
        <f t="shared" si="31"/>
        <v>2</v>
      </c>
      <c r="G64" s="529">
        <f t="shared" si="31"/>
        <v>2</v>
      </c>
      <c r="H64" s="529">
        <f t="shared" si="31"/>
        <v>2</v>
      </c>
      <c r="I64" s="529">
        <f t="shared" si="31"/>
        <v>2</v>
      </c>
      <c r="J64" s="529">
        <f t="shared" si="31"/>
        <v>2</v>
      </c>
      <c r="K64" s="529">
        <f t="shared" si="31"/>
        <v>2</v>
      </c>
      <c r="L64" s="529">
        <f t="shared" si="31"/>
        <v>2</v>
      </c>
      <c r="M64" s="117">
        <f t="shared" si="31"/>
        <v>2</v>
      </c>
      <c r="N64" s="529">
        <f t="shared" si="31"/>
        <v>1</v>
      </c>
    </row>
    <row r="65" spans="1:14" x14ac:dyDescent="0.2">
      <c r="A65" s="34" t="str">
        <f t="shared" ref="A65:A82" si="32">A114</f>
        <v>≥ Level 3 Pilots</v>
      </c>
      <c r="B65" s="529">
        <f t="shared" ref="B65:N65" si="33">IF($B114 = 0,"N/A",ROUNDUP(IF(B$13="Deploy",MAX((B$104/100)*$B114,$B114),(B$104/100)*$B114),0))</f>
        <v>3</v>
      </c>
      <c r="C65" s="529">
        <f t="shared" si="33"/>
        <v>3</v>
      </c>
      <c r="D65" s="529">
        <f t="shared" si="33"/>
        <v>3</v>
      </c>
      <c r="E65" s="529">
        <f t="shared" si="33"/>
        <v>3</v>
      </c>
      <c r="F65" s="529">
        <f t="shared" si="33"/>
        <v>3</v>
      </c>
      <c r="G65" s="529">
        <f t="shared" si="33"/>
        <v>3</v>
      </c>
      <c r="H65" s="529">
        <f t="shared" si="33"/>
        <v>3</v>
      </c>
      <c r="I65" s="529">
        <f t="shared" si="33"/>
        <v>3</v>
      </c>
      <c r="J65" s="529">
        <f t="shared" si="33"/>
        <v>3</v>
      </c>
      <c r="K65" s="529">
        <f t="shared" si="33"/>
        <v>3</v>
      </c>
      <c r="L65" s="529">
        <f t="shared" si="33"/>
        <v>3</v>
      </c>
      <c r="M65" s="117">
        <f t="shared" si="33"/>
        <v>3</v>
      </c>
      <c r="N65" s="529">
        <f t="shared" si="33"/>
        <v>1</v>
      </c>
    </row>
    <row r="66" spans="1:14" x14ac:dyDescent="0.2">
      <c r="A66" s="34" t="str">
        <f t="shared" si="32"/>
        <v>≥ Level 2 Pilots</v>
      </c>
      <c r="B66" s="529">
        <f t="shared" ref="B66:N66" si="34">IF($B115 = 0,"N/A",ROUNDUP(IF(B$13="Deploy",MAX((B$104/100)*$B115,$B115),(B$104/100)*$B115),0))</f>
        <v>7</v>
      </c>
      <c r="C66" s="529">
        <f t="shared" si="34"/>
        <v>7</v>
      </c>
      <c r="D66" s="529">
        <f t="shared" si="34"/>
        <v>7</v>
      </c>
      <c r="E66" s="529">
        <f t="shared" si="34"/>
        <v>6</v>
      </c>
      <c r="F66" s="529">
        <f t="shared" si="34"/>
        <v>6</v>
      </c>
      <c r="G66" s="529">
        <f t="shared" si="34"/>
        <v>7</v>
      </c>
      <c r="H66" s="529">
        <f t="shared" si="34"/>
        <v>7</v>
      </c>
      <c r="I66" s="529">
        <f t="shared" si="34"/>
        <v>7</v>
      </c>
      <c r="J66" s="529">
        <f t="shared" si="34"/>
        <v>7</v>
      </c>
      <c r="K66" s="529">
        <f t="shared" si="34"/>
        <v>6</v>
      </c>
      <c r="L66" s="529">
        <f t="shared" si="34"/>
        <v>6</v>
      </c>
      <c r="M66" s="117">
        <f t="shared" si="34"/>
        <v>6</v>
      </c>
      <c r="N66" s="529">
        <f t="shared" si="34"/>
        <v>3</v>
      </c>
    </row>
    <row r="67" spans="1:14" x14ac:dyDescent="0.2">
      <c r="A67" s="34" t="str">
        <f t="shared" si="32"/>
        <v>≥ Level 1 Pilots</v>
      </c>
      <c r="B67" s="529">
        <f t="shared" ref="B67:N67" si="35">IF($B116 = 0,"N/A",ROUNDUP(IF(B$13="Deploy",MAX((B$104/100)*$B116,$B116),(B$104/100)*$B116),0))</f>
        <v>18</v>
      </c>
      <c r="C67" s="529">
        <f t="shared" si="35"/>
        <v>18</v>
      </c>
      <c r="D67" s="529">
        <f t="shared" si="35"/>
        <v>16</v>
      </c>
      <c r="E67" s="529">
        <f t="shared" si="35"/>
        <v>16</v>
      </c>
      <c r="F67" s="529">
        <f t="shared" si="35"/>
        <v>15</v>
      </c>
      <c r="G67" s="529">
        <f t="shared" si="35"/>
        <v>18</v>
      </c>
      <c r="H67" s="529">
        <f t="shared" si="35"/>
        <v>18</v>
      </c>
      <c r="I67" s="529">
        <f t="shared" si="35"/>
        <v>18</v>
      </c>
      <c r="J67" s="529">
        <f t="shared" si="35"/>
        <v>16</v>
      </c>
      <c r="K67" s="529">
        <f t="shared" si="35"/>
        <v>16</v>
      </c>
      <c r="L67" s="529">
        <f t="shared" si="35"/>
        <v>15</v>
      </c>
      <c r="M67" s="117">
        <f t="shared" si="35"/>
        <v>15</v>
      </c>
      <c r="N67" s="529">
        <f t="shared" si="35"/>
        <v>6</v>
      </c>
    </row>
    <row r="68" spans="1:14" x14ac:dyDescent="0.2">
      <c r="A68" s="34" t="str">
        <f t="shared" si="32"/>
        <v>≥ PR/SOF 4 Pilots</v>
      </c>
      <c r="B68" s="529">
        <f t="shared" ref="B68:N68" si="36">IF($B117 = "NA","NA",ROUNDUP(IF(B$13="Deploy",MAX((B$104/100)*$B117,$B117),(B$104/100)*$B117),0))</f>
        <v>1</v>
      </c>
      <c r="C68" s="529">
        <f t="shared" si="36"/>
        <v>1</v>
      </c>
      <c r="D68" s="529">
        <f t="shared" si="36"/>
        <v>1</v>
      </c>
      <c r="E68" s="529">
        <f t="shared" si="36"/>
        <v>1</v>
      </c>
      <c r="F68" s="529">
        <f t="shared" si="36"/>
        <v>1</v>
      </c>
      <c r="G68" s="529">
        <f t="shared" si="36"/>
        <v>1</v>
      </c>
      <c r="H68" s="529">
        <f t="shared" si="36"/>
        <v>1</v>
      </c>
      <c r="I68" s="529">
        <f t="shared" si="36"/>
        <v>1</v>
      </c>
      <c r="J68" s="529">
        <f t="shared" si="36"/>
        <v>1</v>
      </c>
      <c r="K68" s="529">
        <f t="shared" si="36"/>
        <v>1</v>
      </c>
      <c r="L68" s="529">
        <f t="shared" si="36"/>
        <v>1</v>
      </c>
      <c r="M68" s="117">
        <f t="shared" si="36"/>
        <v>1</v>
      </c>
      <c r="N68" s="529">
        <f t="shared" si="36"/>
        <v>1</v>
      </c>
    </row>
    <row r="69" spans="1:14" x14ac:dyDescent="0.2">
      <c r="A69" s="34" t="str">
        <f t="shared" si="32"/>
        <v>≥ PR/SOF 3 Pilots</v>
      </c>
      <c r="B69" s="529">
        <f t="shared" ref="B69:N69" si="37">IF($B118 = "NA","NA",ROUNDUP(IF(B$13="Deploy",MAX((B$104/100)*$B118,$B118),(B$104/100)*$B118),0))</f>
        <v>2</v>
      </c>
      <c r="C69" s="529">
        <f t="shared" si="37"/>
        <v>2</v>
      </c>
      <c r="D69" s="529">
        <f t="shared" si="37"/>
        <v>2</v>
      </c>
      <c r="E69" s="529">
        <f t="shared" si="37"/>
        <v>2</v>
      </c>
      <c r="F69" s="529">
        <f t="shared" si="37"/>
        <v>2</v>
      </c>
      <c r="G69" s="529">
        <f t="shared" si="37"/>
        <v>2</v>
      </c>
      <c r="H69" s="529">
        <f t="shared" si="37"/>
        <v>2</v>
      </c>
      <c r="I69" s="529">
        <f t="shared" si="37"/>
        <v>2</v>
      </c>
      <c r="J69" s="529">
        <f t="shared" si="37"/>
        <v>2</v>
      </c>
      <c r="K69" s="529">
        <f t="shared" si="37"/>
        <v>2</v>
      </c>
      <c r="L69" s="529">
        <f t="shared" si="37"/>
        <v>2</v>
      </c>
      <c r="M69" s="117">
        <f t="shared" si="37"/>
        <v>2</v>
      </c>
      <c r="N69" s="529">
        <f t="shared" si="37"/>
        <v>1</v>
      </c>
    </row>
    <row r="70" spans="1:14" x14ac:dyDescent="0.2">
      <c r="A70" s="34" t="str">
        <f t="shared" si="32"/>
        <v>≥ PR/SOF 2 Pilots</v>
      </c>
      <c r="B70" s="529">
        <f t="shared" ref="B70:N70" si="38">IF($B119 = "NA","NA",ROUNDUP(IF(B$13="Deploy",MAX((B$104/100)*$B119,$B119),(B$104/100)*$B119),0))</f>
        <v>2</v>
      </c>
      <c r="C70" s="529">
        <f t="shared" si="38"/>
        <v>2</v>
      </c>
      <c r="D70" s="529">
        <f t="shared" si="38"/>
        <v>2</v>
      </c>
      <c r="E70" s="529">
        <f t="shared" si="38"/>
        <v>2</v>
      </c>
      <c r="F70" s="529">
        <f t="shared" si="38"/>
        <v>2</v>
      </c>
      <c r="G70" s="529">
        <f t="shared" si="38"/>
        <v>2</v>
      </c>
      <c r="H70" s="529">
        <f t="shared" si="38"/>
        <v>2</v>
      </c>
      <c r="I70" s="529">
        <f t="shared" si="38"/>
        <v>2</v>
      </c>
      <c r="J70" s="529">
        <f t="shared" si="38"/>
        <v>2</v>
      </c>
      <c r="K70" s="529">
        <f t="shared" si="38"/>
        <v>2</v>
      </c>
      <c r="L70" s="529">
        <f t="shared" si="38"/>
        <v>2</v>
      </c>
      <c r="M70" s="117">
        <f t="shared" si="38"/>
        <v>2</v>
      </c>
      <c r="N70" s="529">
        <f t="shared" si="38"/>
        <v>1</v>
      </c>
    </row>
    <row r="71" spans="1:14" x14ac:dyDescent="0.2">
      <c r="A71" s="34" t="str">
        <f t="shared" si="32"/>
        <v>≥ PR/SOF 1 Pilots</v>
      </c>
      <c r="B71" s="529">
        <f t="shared" ref="B71:N71" si="39">IF($B120 = "NA","NA",ROUNDUP(IF(B$13="Deploy",MAX((B$104/100)*$B120,$B120),(B$104/100)*$B120),0))</f>
        <v>4</v>
      </c>
      <c r="C71" s="529">
        <f t="shared" si="39"/>
        <v>4</v>
      </c>
      <c r="D71" s="529">
        <f t="shared" si="39"/>
        <v>4</v>
      </c>
      <c r="E71" s="529">
        <f t="shared" si="39"/>
        <v>4</v>
      </c>
      <c r="F71" s="529">
        <f t="shared" si="39"/>
        <v>4</v>
      </c>
      <c r="G71" s="529">
        <f t="shared" si="39"/>
        <v>4</v>
      </c>
      <c r="H71" s="529">
        <f t="shared" si="39"/>
        <v>4</v>
      </c>
      <c r="I71" s="529">
        <f t="shared" si="39"/>
        <v>4</v>
      </c>
      <c r="J71" s="529">
        <f t="shared" si="39"/>
        <v>4</v>
      </c>
      <c r="K71" s="529">
        <f t="shared" si="39"/>
        <v>4</v>
      </c>
      <c r="L71" s="529">
        <f t="shared" si="39"/>
        <v>4</v>
      </c>
      <c r="M71" s="117">
        <f t="shared" si="39"/>
        <v>4</v>
      </c>
      <c r="N71" s="529">
        <f t="shared" si="39"/>
        <v>2</v>
      </c>
    </row>
    <row r="72" spans="1:14" x14ac:dyDescent="0.2">
      <c r="A72" s="34" t="str">
        <f t="shared" si="32"/>
        <v>≥ MIW Level 2 Pilots</v>
      </c>
      <c r="B72" s="529" t="str">
        <f t="shared" ref="B72:N72" si="40">IF($B121 = "NA","NA",ROUNDUP(IF(B$13="Deploy",MAX((B$104/100)*$B121,$B121),(B$104/100)*$B121),0))</f>
        <v>NA</v>
      </c>
      <c r="C72" s="529" t="str">
        <f t="shared" si="40"/>
        <v>NA</v>
      </c>
      <c r="D72" s="529" t="str">
        <f t="shared" si="40"/>
        <v>NA</v>
      </c>
      <c r="E72" s="529" t="str">
        <f t="shared" si="40"/>
        <v>NA</v>
      </c>
      <c r="F72" s="529" t="str">
        <f t="shared" si="40"/>
        <v>NA</v>
      </c>
      <c r="G72" s="529" t="str">
        <f t="shared" si="40"/>
        <v>NA</v>
      </c>
      <c r="H72" s="529" t="str">
        <f t="shared" si="40"/>
        <v>NA</v>
      </c>
      <c r="I72" s="529" t="str">
        <f t="shared" si="40"/>
        <v>NA</v>
      </c>
      <c r="J72" s="529" t="str">
        <f t="shared" si="40"/>
        <v>NA</v>
      </c>
      <c r="K72" s="529" t="str">
        <f t="shared" si="40"/>
        <v>NA</v>
      </c>
      <c r="L72" s="529" t="str">
        <f t="shared" si="40"/>
        <v>NA</v>
      </c>
      <c r="M72" s="117" t="str">
        <f t="shared" si="40"/>
        <v>NA</v>
      </c>
      <c r="N72" s="529" t="str">
        <f t="shared" si="40"/>
        <v>NA</v>
      </c>
    </row>
    <row r="73" spans="1:14" x14ac:dyDescent="0.2">
      <c r="A73" s="34" t="str">
        <f t="shared" si="32"/>
        <v>≥ MIW Level 1 Pilots</v>
      </c>
      <c r="B73" s="529" t="str">
        <f t="shared" ref="B73:N73" si="41">IF($B122 = "NA","NA",ROUNDUP(IF(B$13="Deploy",MAX((B$104/100)*$B122,$B122),(B$104/100)*$B122),0))</f>
        <v>NA</v>
      </c>
      <c r="C73" s="529" t="str">
        <f t="shared" si="41"/>
        <v>NA</v>
      </c>
      <c r="D73" s="529" t="str">
        <f t="shared" si="41"/>
        <v>NA</v>
      </c>
      <c r="E73" s="529" t="str">
        <f t="shared" si="41"/>
        <v>NA</v>
      </c>
      <c r="F73" s="529" t="str">
        <f t="shared" si="41"/>
        <v>NA</v>
      </c>
      <c r="G73" s="529" t="str">
        <f t="shared" si="41"/>
        <v>NA</v>
      </c>
      <c r="H73" s="529" t="str">
        <f t="shared" si="41"/>
        <v>NA</v>
      </c>
      <c r="I73" s="529" t="str">
        <f t="shared" si="41"/>
        <v>NA</v>
      </c>
      <c r="J73" s="529" t="str">
        <f t="shared" si="41"/>
        <v>NA</v>
      </c>
      <c r="K73" s="529" t="str">
        <f t="shared" si="41"/>
        <v>NA</v>
      </c>
      <c r="L73" s="529" t="str">
        <f t="shared" si="41"/>
        <v>NA</v>
      </c>
      <c r="M73" s="117" t="str">
        <f t="shared" si="41"/>
        <v>NA</v>
      </c>
      <c r="N73" s="529" t="str">
        <f t="shared" si="41"/>
        <v>NA</v>
      </c>
    </row>
    <row r="74" spans="1:14" x14ac:dyDescent="0.2">
      <c r="A74" s="34" t="str">
        <f t="shared" si="32"/>
        <v>≥ TAC Level 4 Pilots</v>
      </c>
      <c r="B74" s="529" t="str">
        <f t="shared" ref="B74:N74" si="42">IF($B123 = "NA","NA",ROUNDUP(IF(B$13="Deploy",MAX((B$104/100)*$B123,$B123),(B$104/100)*$B123),0))</f>
        <v>NA</v>
      </c>
      <c r="C74" s="529" t="str">
        <f t="shared" si="42"/>
        <v>NA</v>
      </c>
      <c r="D74" s="529" t="str">
        <f t="shared" si="42"/>
        <v>NA</v>
      </c>
      <c r="E74" s="529" t="str">
        <f t="shared" si="42"/>
        <v>NA</v>
      </c>
      <c r="F74" s="529" t="str">
        <f t="shared" si="42"/>
        <v>NA</v>
      </c>
      <c r="G74" s="529" t="str">
        <f t="shared" si="42"/>
        <v>NA</v>
      </c>
      <c r="H74" s="529" t="str">
        <f t="shared" si="42"/>
        <v>NA</v>
      </c>
      <c r="I74" s="529" t="str">
        <f t="shared" si="42"/>
        <v>NA</v>
      </c>
      <c r="J74" s="529" t="str">
        <f t="shared" si="42"/>
        <v>NA</v>
      </c>
      <c r="K74" s="529" t="str">
        <f t="shared" si="42"/>
        <v>NA</v>
      </c>
      <c r="L74" s="529" t="str">
        <f t="shared" si="42"/>
        <v>NA</v>
      </c>
      <c r="M74" s="117" t="str">
        <f t="shared" si="42"/>
        <v>NA</v>
      </c>
      <c r="N74" s="529" t="str">
        <f t="shared" si="42"/>
        <v>NA</v>
      </c>
    </row>
    <row r="75" spans="1:14" x14ac:dyDescent="0.2">
      <c r="A75" s="34" t="str">
        <f t="shared" si="32"/>
        <v>≥ TAC Level 3 Pilots</v>
      </c>
      <c r="B75" s="529" t="str">
        <f t="shared" ref="B75:N75" si="43">IF($B124 = "NA","NA",ROUNDUP(IF(B$13="Deploy",MAX((B$104/100)*$B124,$B124),(B$104/100)*$B124),0))</f>
        <v>NA</v>
      </c>
      <c r="C75" s="529" t="str">
        <f t="shared" si="43"/>
        <v>NA</v>
      </c>
      <c r="D75" s="529" t="str">
        <f t="shared" si="43"/>
        <v>NA</v>
      </c>
      <c r="E75" s="529" t="str">
        <f t="shared" si="43"/>
        <v>NA</v>
      </c>
      <c r="F75" s="529" t="str">
        <f t="shared" si="43"/>
        <v>NA</v>
      </c>
      <c r="G75" s="529" t="str">
        <f t="shared" si="43"/>
        <v>NA</v>
      </c>
      <c r="H75" s="529" t="str">
        <f t="shared" si="43"/>
        <v>NA</v>
      </c>
      <c r="I75" s="529" t="str">
        <f t="shared" si="43"/>
        <v>NA</v>
      </c>
      <c r="J75" s="529" t="str">
        <f t="shared" si="43"/>
        <v>NA</v>
      </c>
      <c r="K75" s="529" t="str">
        <f t="shared" si="43"/>
        <v>NA</v>
      </c>
      <c r="L75" s="529" t="str">
        <f t="shared" si="43"/>
        <v>NA</v>
      </c>
      <c r="M75" s="117" t="str">
        <f t="shared" si="43"/>
        <v>NA</v>
      </c>
      <c r="N75" s="529" t="str">
        <f t="shared" si="43"/>
        <v>NA</v>
      </c>
    </row>
    <row r="76" spans="1:14" x14ac:dyDescent="0.2">
      <c r="A76" s="34" t="str">
        <f t="shared" si="32"/>
        <v>≥ TAC Level 2 Pilots</v>
      </c>
      <c r="B76" s="529" t="str">
        <f t="shared" ref="B76:N76" si="44">IF($B125 = "NA","NA",ROUNDUP(IF(B$13="Deploy",MAX((B$104/100)*$B125,$B125),(B$104/100)*$B125),0))</f>
        <v>NA</v>
      </c>
      <c r="C76" s="529" t="str">
        <f t="shared" si="44"/>
        <v>NA</v>
      </c>
      <c r="D76" s="529" t="str">
        <f t="shared" si="44"/>
        <v>NA</v>
      </c>
      <c r="E76" s="529" t="str">
        <f t="shared" si="44"/>
        <v>NA</v>
      </c>
      <c r="F76" s="529" t="str">
        <f t="shared" si="44"/>
        <v>NA</v>
      </c>
      <c r="G76" s="529" t="str">
        <f t="shared" si="44"/>
        <v>NA</v>
      </c>
      <c r="H76" s="529" t="str">
        <f t="shared" si="44"/>
        <v>NA</v>
      </c>
      <c r="I76" s="529" t="str">
        <f t="shared" si="44"/>
        <v>NA</v>
      </c>
      <c r="J76" s="529" t="str">
        <f t="shared" si="44"/>
        <v>NA</v>
      </c>
      <c r="K76" s="529" t="str">
        <f t="shared" si="44"/>
        <v>NA</v>
      </c>
      <c r="L76" s="529" t="str">
        <f t="shared" si="44"/>
        <v>NA</v>
      </c>
      <c r="M76" s="117" t="str">
        <f t="shared" si="44"/>
        <v>NA</v>
      </c>
      <c r="N76" s="529" t="str">
        <f t="shared" si="44"/>
        <v>NA</v>
      </c>
    </row>
    <row r="77" spans="1:14" x14ac:dyDescent="0.2">
      <c r="A77" s="34" t="str">
        <f t="shared" si="32"/>
        <v>Mountain Flying School Pilots</v>
      </c>
      <c r="B77" s="529">
        <f t="shared" ref="B77:N77" si="45">IF($B126 = "NA","NA",ROUNDUP(IF(B$13="Deploy",MAX((B$104/100)*$B126,$B126),(B$104/100)*$B126),0))</f>
        <v>2</v>
      </c>
      <c r="C77" s="529">
        <f t="shared" si="45"/>
        <v>2</v>
      </c>
      <c r="D77" s="529">
        <f t="shared" si="45"/>
        <v>2</v>
      </c>
      <c r="E77" s="529">
        <f t="shared" si="45"/>
        <v>2</v>
      </c>
      <c r="F77" s="529">
        <f t="shared" si="45"/>
        <v>2</v>
      </c>
      <c r="G77" s="529">
        <f t="shared" si="45"/>
        <v>2</v>
      </c>
      <c r="H77" s="529">
        <f t="shared" si="45"/>
        <v>2</v>
      </c>
      <c r="I77" s="529">
        <f t="shared" si="45"/>
        <v>2</v>
      </c>
      <c r="J77" s="529">
        <f t="shared" si="45"/>
        <v>2</v>
      </c>
      <c r="K77" s="529">
        <f t="shared" si="45"/>
        <v>2</v>
      </c>
      <c r="L77" s="529">
        <f t="shared" si="45"/>
        <v>2</v>
      </c>
      <c r="M77" s="117">
        <f t="shared" si="45"/>
        <v>2</v>
      </c>
      <c r="N77" s="529">
        <f t="shared" si="45"/>
        <v>1</v>
      </c>
    </row>
    <row r="78" spans="1:14" x14ac:dyDescent="0.2">
      <c r="A78" s="34" t="str">
        <f t="shared" si="32"/>
        <v>Aircrew Upper Limit</v>
      </c>
      <c r="B78" s="529">
        <f t="shared" ref="B78:N78" si="46">$B$127</f>
        <v>18</v>
      </c>
      <c r="C78" s="529">
        <f t="shared" si="46"/>
        <v>18</v>
      </c>
      <c r="D78" s="529">
        <f t="shared" si="46"/>
        <v>18</v>
      </c>
      <c r="E78" s="529">
        <f t="shared" si="46"/>
        <v>18</v>
      </c>
      <c r="F78" s="529">
        <f t="shared" si="46"/>
        <v>18</v>
      </c>
      <c r="G78" s="529">
        <f t="shared" si="46"/>
        <v>18</v>
      </c>
      <c r="H78" s="529">
        <f t="shared" si="46"/>
        <v>18</v>
      </c>
      <c r="I78" s="529">
        <f t="shared" si="46"/>
        <v>18</v>
      </c>
      <c r="J78" s="529">
        <f t="shared" si="46"/>
        <v>18</v>
      </c>
      <c r="K78" s="529">
        <f t="shared" si="46"/>
        <v>18</v>
      </c>
      <c r="L78" s="529">
        <f t="shared" si="46"/>
        <v>18</v>
      </c>
      <c r="M78" s="117">
        <f t="shared" si="46"/>
        <v>18</v>
      </c>
      <c r="N78" s="529">
        <f t="shared" si="46"/>
        <v>18</v>
      </c>
    </row>
    <row r="79" spans="1:14" x14ac:dyDescent="0.2">
      <c r="A79" s="34" t="str">
        <f t="shared" si="32"/>
        <v>Aircrew Lower Limit</v>
      </c>
      <c r="B79" s="529">
        <f t="shared" ref="B79:N79" si="47">IF($B128 = "NA","NA",ROUNDUP(IF(B$13="Deploy",MAX((B$104/100)*$B128,$B128),(B$104/100)*$B128),0))</f>
        <v>18</v>
      </c>
      <c r="C79" s="529">
        <f t="shared" si="47"/>
        <v>18</v>
      </c>
      <c r="D79" s="529">
        <f t="shared" si="47"/>
        <v>16</v>
      </c>
      <c r="E79" s="529">
        <f t="shared" si="47"/>
        <v>16</v>
      </c>
      <c r="F79" s="529">
        <f t="shared" si="47"/>
        <v>15</v>
      </c>
      <c r="G79" s="529">
        <f t="shared" si="47"/>
        <v>18</v>
      </c>
      <c r="H79" s="529">
        <f t="shared" si="47"/>
        <v>18</v>
      </c>
      <c r="I79" s="529">
        <f t="shared" si="47"/>
        <v>18</v>
      </c>
      <c r="J79" s="529">
        <f t="shared" si="47"/>
        <v>16</v>
      </c>
      <c r="K79" s="529">
        <f t="shared" si="47"/>
        <v>16</v>
      </c>
      <c r="L79" s="529">
        <f t="shared" si="47"/>
        <v>15</v>
      </c>
      <c r="M79" s="117">
        <f t="shared" si="47"/>
        <v>15</v>
      </c>
      <c r="N79" s="529">
        <f t="shared" si="47"/>
        <v>6</v>
      </c>
    </row>
    <row r="80" spans="1:14" x14ac:dyDescent="0.2">
      <c r="A80" s="34" t="str">
        <f t="shared" si="32"/>
        <v>≥ Level 3 Aircrewmen</v>
      </c>
      <c r="B80" s="529">
        <f t="shared" ref="B80:N80" si="48">IF($B129 = "NA","NA",ROUNDUP(IF(B$13="Deploy",MAX((B$104/100)*$B129,$B129),(B$104/100)*$B129),0))</f>
        <v>3</v>
      </c>
      <c r="C80" s="529">
        <f t="shared" si="48"/>
        <v>3</v>
      </c>
      <c r="D80" s="529">
        <f t="shared" si="48"/>
        <v>3</v>
      </c>
      <c r="E80" s="529">
        <f t="shared" si="48"/>
        <v>3</v>
      </c>
      <c r="F80" s="529">
        <f t="shared" si="48"/>
        <v>3</v>
      </c>
      <c r="G80" s="529">
        <f t="shared" si="48"/>
        <v>3</v>
      </c>
      <c r="H80" s="529">
        <f t="shared" si="48"/>
        <v>3</v>
      </c>
      <c r="I80" s="529">
        <f t="shared" si="48"/>
        <v>3</v>
      </c>
      <c r="J80" s="529">
        <f t="shared" si="48"/>
        <v>3</v>
      </c>
      <c r="K80" s="529">
        <f t="shared" si="48"/>
        <v>3</v>
      </c>
      <c r="L80" s="529">
        <f t="shared" si="48"/>
        <v>3</v>
      </c>
      <c r="M80" s="117">
        <f t="shared" si="48"/>
        <v>3</v>
      </c>
      <c r="N80" s="529">
        <f t="shared" si="48"/>
        <v>1</v>
      </c>
    </row>
    <row r="81" spans="1:14" x14ac:dyDescent="0.2">
      <c r="A81" s="34" t="str">
        <f t="shared" si="32"/>
        <v>≥ Level 2 Aircrewmen</v>
      </c>
      <c r="B81" s="529">
        <f t="shared" ref="B81:N81" si="49">IF($B130 = "NA","NA",ROUNDUP(IF(B$13="Deploy",MAX((B$104/100)*$B130,$B130),(B$104/100)*$B130),0))</f>
        <v>7</v>
      </c>
      <c r="C81" s="529">
        <f t="shared" si="49"/>
        <v>7</v>
      </c>
      <c r="D81" s="529">
        <f t="shared" si="49"/>
        <v>7</v>
      </c>
      <c r="E81" s="529">
        <f t="shared" si="49"/>
        <v>6</v>
      </c>
      <c r="F81" s="529">
        <f t="shared" si="49"/>
        <v>6</v>
      </c>
      <c r="G81" s="529">
        <f t="shared" si="49"/>
        <v>7</v>
      </c>
      <c r="H81" s="529">
        <f t="shared" si="49"/>
        <v>7</v>
      </c>
      <c r="I81" s="529">
        <f t="shared" si="49"/>
        <v>7</v>
      </c>
      <c r="J81" s="529">
        <f t="shared" si="49"/>
        <v>7</v>
      </c>
      <c r="K81" s="529">
        <f t="shared" si="49"/>
        <v>6</v>
      </c>
      <c r="L81" s="529">
        <f t="shared" si="49"/>
        <v>6</v>
      </c>
      <c r="M81" s="117">
        <f t="shared" si="49"/>
        <v>6</v>
      </c>
      <c r="N81" s="529">
        <f t="shared" si="49"/>
        <v>3</v>
      </c>
    </row>
    <row r="82" spans="1:14" x14ac:dyDescent="0.2">
      <c r="A82" s="34" t="str">
        <f t="shared" si="32"/>
        <v>≥ Level 1 Aircrewmen</v>
      </c>
      <c r="B82" s="529">
        <f t="shared" ref="B82:N82" si="50">IF($B131 = "NA","NA",ROUNDUP(IF(B$13="Deploy",MAX((B$104/100)*$B131,$B131),(B$104/100)*$B131),0))</f>
        <v>18</v>
      </c>
      <c r="C82" s="529">
        <f t="shared" si="50"/>
        <v>18</v>
      </c>
      <c r="D82" s="529">
        <f t="shared" si="50"/>
        <v>16</v>
      </c>
      <c r="E82" s="529">
        <f t="shared" si="50"/>
        <v>16</v>
      </c>
      <c r="F82" s="529">
        <f t="shared" si="50"/>
        <v>15</v>
      </c>
      <c r="G82" s="529">
        <f t="shared" si="50"/>
        <v>18</v>
      </c>
      <c r="H82" s="529">
        <f t="shared" si="50"/>
        <v>18</v>
      </c>
      <c r="I82" s="529">
        <f t="shared" si="50"/>
        <v>18</v>
      </c>
      <c r="J82" s="529">
        <f t="shared" si="50"/>
        <v>16</v>
      </c>
      <c r="K82" s="529">
        <f t="shared" si="50"/>
        <v>16</v>
      </c>
      <c r="L82" s="529">
        <f t="shared" si="50"/>
        <v>15</v>
      </c>
      <c r="M82" s="117">
        <f t="shared" si="50"/>
        <v>15</v>
      </c>
      <c r="N82" s="529">
        <f t="shared" si="50"/>
        <v>6</v>
      </c>
    </row>
    <row r="83" spans="1:14" x14ac:dyDescent="0.2">
      <c r="A83" s="34" t="str">
        <f>A132</f>
        <v>≥ PR/SOF 3 Aircrewmen</v>
      </c>
      <c r="B83" s="529">
        <f t="shared" ref="B83:N83" si="51">IF($B132 = "NA","NA",ROUNDUP(IF(B$13="Deploy",MAX((B$104/100)*$B132,$B132),(B$104/100)*$B132),0))</f>
        <v>2</v>
      </c>
      <c r="C83" s="529">
        <f t="shared" si="51"/>
        <v>2</v>
      </c>
      <c r="D83" s="529">
        <f t="shared" si="51"/>
        <v>2</v>
      </c>
      <c r="E83" s="529">
        <f t="shared" si="51"/>
        <v>2</v>
      </c>
      <c r="F83" s="529">
        <f t="shared" si="51"/>
        <v>2</v>
      </c>
      <c r="G83" s="529">
        <f t="shared" si="51"/>
        <v>2</v>
      </c>
      <c r="H83" s="529">
        <f t="shared" si="51"/>
        <v>2</v>
      </c>
      <c r="I83" s="529">
        <f t="shared" si="51"/>
        <v>2</v>
      </c>
      <c r="J83" s="529">
        <f t="shared" si="51"/>
        <v>2</v>
      </c>
      <c r="K83" s="529">
        <f t="shared" si="51"/>
        <v>2</v>
      </c>
      <c r="L83" s="529">
        <f t="shared" si="51"/>
        <v>2</v>
      </c>
      <c r="M83" s="117">
        <f t="shared" si="51"/>
        <v>2</v>
      </c>
      <c r="N83" s="529">
        <f t="shared" si="51"/>
        <v>1</v>
      </c>
    </row>
    <row r="84" spans="1:14" x14ac:dyDescent="0.2">
      <c r="A84" s="34" t="str">
        <f>A133</f>
        <v>≥ MIW Level 2 Aircrewmen</v>
      </c>
      <c r="B84" s="529" t="str">
        <f t="shared" ref="B84:N84" si="52">IF($B133 = "NA","NA",ROUNDUP(IF(B$13="Deploy",MAX((B$104/100)*$B133,$B133),(B$104/100)*$B133),0))</f>
        <v>NA</v>
      </c>
      <c r="C84" s="529" t="str">
        <f t="shared" si="52"/>
        <v>NA</v>
      </c>
      <c r="D84" s="529" t="str">
        <f t="shared" si="52"/>
        <v>NA</v>
      </c>
      <c r="E84" s="529" t="str">
        <f t="shared" si="52"/>
        <v>NA</v>
      </c>
      <c r="F84" s="529" t="str">
        <f t="shared" si="52"/>
        <v>NA</v>
      </c>
      <c r="G84" s="529" t="str">
        <f t="shared" si="52"/>
        <v>NA</v>
      </c>
      <c r="H84" s="529" t="str">
        <f t="shared" si="52"/>
        <v>NA</v>
      </c>
      <c r="I84" s="529" t="str">
        <f t="shared" si="52"/>
        <v>NA</v>
      </c>
      <c r="J84" s="529" t="str">
        <f t="shared" si="52"/>
        <v>NA</v>
      </c>
      <c r="K84" s="529" t="str">
        <f t="shared" si="52"/>
        <v>NA</v>
      </c>
      <c r="L84" s="529" t="str">
        <f t="shared" si="52"/>
        <v>NA</v>
      </c>
      <c r="M84" s="117" t="str">
        <f t="shared" si="52"/>
        <v>NA</v>
      </c>
      <c r="N84" s="529" t="str">
        <f t="shared" si="52"/>
        <v>NA</v>
      </c>
    </row>
    <row r="85" spans="1:14" x14ac:dyDescent="0.2">
      <c r="A85" s="34" t="str">
        <f>A134</f>
        <v>≥ MIW Level 1 Aircrewmen</v>
      </c>
      <c r="B85" s="529" t="str">
        <f t="shared" ref="B85:N85" si="53">IF($B134 = "NA","NA",ROUNDUP(IF(B$13="Deploy",MAX((B$104/100)*$B134,$B134),(B$104/100)*$B134),0))</f>
        <v>NA</v>
      </c>
      <c r="C85" s="529" t="str">
        <f t="shared" si="53"/>
        <v>NA</v>
      </c>
      <c r="D85" s="529" t="str">
        <f t="shared" si="53"/>
        <v>NA</v>
      </c>
      <c r="E85" s="529" t="str">
        <f t="shared" si="53"/>
        <v>NA</v>
      </c>
      <c r="F85" s="529" t="str">
        <f t="shared" si="53"/>
        <v>NA</v>
      </c>
      <c r="G85" s="529" t="str">
        <f t="shared" si="53"/>
        <v>NA</v>
      </c>
      <c r="H85" s="529" t="str">
        <f t="shared" si="53"/>
        <v>NA</v>
      </c>
      <c r="I85" s="529" t="str">
        <f t="shared" si="53"/>
        <v>NA</v>
      </c>
      <c r="J85" s="529" t="str">
        <f t="shared" si="53"/>
        <v>NA</v>
      </c>
      <c r="K85" s="529" t="str">
        <f t="shared" si="53"/>
        <v>NA</v>
      </c>
      <c r="L85" s="529" t="str">
        <f t="shared" si="53"/>
        <v>NA</v>
      </c>
      <c r="M85" s="117" t="str">
        <f t="shared" si="53"/>
        <v>NA</v>
      </c>
      <c r="N85" s="529" t="str">
        <f t="shared" si="53"/>
        <v>NA</v>
      </c>
    </row>
    <row r="86" spans="1:14" x14ac:dyDescent="0.2">
      <c r="A86" s="34" t="str">
        <f t="shared" ref="A86:A92" si="54">A135</f>
        <v>≥ TAC Level 3 Aircrewmen</v>
      </c>
      <c r="B86" s="529" t="str">
        <f t="shared" ref="B86:N86" si="55">IF($B135 = "NA","NA",ROUNDUP(IF(B$13="Deploy",MAX((B$104/100)*$B135,$B135),(B$104/100)*$B135),0))</f>
        <v>NA</v>
      </c>
      <c r="C86" s="529" t="str">
        <f t="shared" si="55"/>
        <v>NA</v>
      </c>
      <c r="D86" s="529" t="str">
        <f t="shared" si="55"/>
        <v>NA</v>
      </c>
      <c r="E86" s="529" t="str">
        <f t="shared" si="55"/>
        <v>NA</v>
      </c>
      <c r="F86" s="529" t="str">
        <f t="shared" si="55"/>
        <v>NA</v>
      </c>
      <c r="G86" s="529" t="str">
        <f t="shared" si="55"/>
        <v>NA</v>
      </c>
      <c r="H86" s="529" t="str">
        <f t="shared" si="55"/>
        <v>NA</v>
      </c>
      <c r="I86" s="529" t="str">
        <f t="shared" si="55"/>
        <v>NA</v>
      </c>
      <c r="J86" s="529" t="str">
        <f t="shared" si="55"/>
        <v>NA</v>
      </c>
      <c r="K86" s="529" t="str">
        <f t="shared" si="55"/>
        <v>NA</v>
      </c>
      <c r="L86" s="529" t="str">
        <f t="shared" si="55"/>
        <v>NA</v>
      </c>
      <c r="M86" s="117" t="str">
        <f t="shared" si="55"/>
        <v>NA</v>
      </c>
      <c r="N86" s="529" t="str">
        <f t="shared" si="55"/>
        <v>NA</v>
      </c>
    </row>
    <row r="87" spans="1:14" x14ac:dyDescent="0.2">
      <c r="A87" s="34" t="str">
        <f t="shared" si="54"/>
        <v>≥ TAC Level 2 Aircrewmen</v>
      </c>
      <c r="B87" s="529" t="str">
        <f t="shared" ref="B87:N87" si="56">IF($B136 = "NA","NA",ROUNDUP(IF(B$13="Deploy",MAX((B$104/100)*$B136,$B136),(B$104/100)*$B136),0))</f>
        <v>NA</v>
      </c>
      <c r="C87" s="529" t="str">
        <f t="shared" si="56"/>
        <v>NA</v>
      </c>
      <c r="D87" s="529" t="str">
        <f t="shared" si="56"/>
        <v>NA</v>
      </c>
      <c r="E87" s="529" t="str">
        <f t="shared" si="56"/>
        <v>NA</v>
      </c>
      <c r="F87" s="529" t="str">
        <f t="shared" si="56"/>
        <v>NA</v>
      </c>
      <c r="G87" s="529" t="str">
        <f t="shared" si="56"/>
        <v>NA</v>
      </c>
      <c r="H87" s="529" t="str">
        <f t="shared" si="56"/>
        <v>NA</v>
      </c>
      <c r="I87" s="529" t="str">
        <f t="shared" si="56"/>
        <v>NA</v>
      </c>
      <c r="J87" s="529" t="str">
        <f t="shared" si="56"/>
        <v>NA</v>
      </c>
      <c r="K87" s="529" t="str">
        <f t="shared" si="56"/>
        <v>NA</v>
      </c>
      <c r="L87" s="529" t="str">
        <f t="shared" si="56"/>
        <v>NA</v>
      </c>
      <c r="M87" s="117" t="str">
        <f t="shared" si="56"/>
        <v>NA</v>
      </c>
      <c r="N87" s="529" t="str">
        <f t="shared" si="56"/>
        <v>NA</v>
      </c>
    </row>
    <row r="88" spans="1:14" x14ac:dyDescent="0.2">
      <c r="A88" s="34" t="str">
        <f t="shared" si="54"/>
        <v>Aerial Gunnery Instructor (AGI) Aircrewmen</v>
      </c>
      <c r="B88" s="529">
        <f t="shared" ref="B88:N88" si="57">IF($B137 = "NA","NA",ROUNDUP(IF(B$13="Deploy",MAX((B$104/100)*$B137,$B137),(B$104/100)*$B137),0))</f>
        <v>2</v>
      </c>
      <c r="C88" s="529">
        <f t="shared" si="57"/>
        <v>2</v>
      </c>
      <c r="D88" s="529">
        <f t="shared" si="57"/>
        <v>2</v>
      </c>
      <c r="E88" s="529">
        <f t="shared" si="57"/>
        <v>2</v>
      </c>
      <c r="F88" s="529">
        <f t="shared" si="57"/>
        <v>2</v>
      </c>
      <c r="G88" s="529">
        <f t="shared" si="57"/>
        <v>2</v>
      </c>
      <c r="H88" s="529">
        <f t="shared" si="57"/>
        <v>2</v>
      </c>
      <c r="I88" s="529">
        <f t="shared" si="57"/>
        <v>2</v>
      </c>
      <c r="J88" s="529">
        <f t="shared" si="57"/>
        <v>2</v>
      </c>
      <c r="K88" s="529">
        <f t="shared" si="57"/>
        <v>2</v>
      </c>
      <c r="L88" s="529">
        <f t="shared" si="57"/>
        <v>2</v>
      </c>
      <c r="M88" s="117">
        <f t="shared" si="57"/>
        <v>2</v>
      </c>
      <c r="N88" s="529">
        <f t="shared" si="57"/>
        <v>1</v>
      </c>
    </row>
    <row r="89" spans="1:14" x14ac:dyDescent="0.2">
      <c r="A89" s="34" t="str">
        <f t="shared" si="54"/>
        <v>Aerial Gunner (AG) Aircrewmen</v>
      </c>
      <c r="B89" s="529">
        <f t="shared" ref="B89:N89" si="58">IF($B138 = "NA","NA",ROUNDUP(IF(B$13="Deploy",MAX((B$104/100)*$B138,$B138),(B$104/100)*$B138),0))</f>
        <v>14</v>
      </c>
      <c r="C89" s="529">
        <f t="shared" si="58"/>
        <v>14</v>
      </c>
      <c r="D89" s="529">
        <f t="shared" si="58"/>
        <v>13</v>
      </c>
      <c r="E89" s="529">
        <f t="shared" si="58"/>
        <v>12</v>
      </c>
      <c r="F89" s="529">
        <f t="shared" si="58"/>
        <v>12</v>
      </c>
      <c r="G89" s="529">
        <f t="shared" si="58"/>
        <v>14</v>
      </c>
      <c r="H89" s="529">
        <f t="shared" si="58"/>
        <v>14</v>
      </c>
      <c r="I89" s="529">
        <f t="shared" si="58"/>
        <v>14</v>
      </c>
      <c r="J89" s="529">
        <f t="shared" si="58"/>
        <v>13</v>
      </c>
      <c r="K89" s="529">
        <f t="shared" si="58"/>
        <v>12</v>
      </c>
      <c r="L89" s="529">
        <f t="shared" si="58"/>
        <v>12</v>
      </c>
      <c r="M89" s="117">
        <f t="shared" si="58"/>
        <v>12</v>
      </c>
      <c r="N89" s="529">
        <f t="shared" si="58"/>
        <v>5</v>
      </c>
    </row>
    <row r="90" spans="1:14" x14ac:dyDescent="0.2">
      <c r="A90" s="34" t="str">
        <f t="shared" si="54"/>
        <v>Mountain Flying School Aircrewmen</v>
      </c>
      <c r="B90" s="529">
        <f t="shared" ref="B90:N90" si="59">IF($B139 = "NA","NA",ROUNDUP(IF(B$13="Deploy",MAX((B$104/100)*$B139,$B139),(B$104/100)*$B139),0))</f>
        <v>1</v>
      </c>
      <c r="C90" s="529">
        <f t="shared" si="59"/>
        <v>1</v>
      </c>
      <c r="D90" s="529">
        <f t="shared" si="59"/>
        <v>1</v>
      </c>
      <c r="E90" s="529">
        <f t="shared" si="59"/>
        <v>1</v>
      </c>
      <c r="F90" s="529">
        <f t="shared" si="59"/>
        <v>1</v>
      </c>
      <c r="G90" s="529">
        <f t="shared" si="59"/>
        <v>1</v>
      </c>
      <c r="H90" s="529">
        <f t="shared" si="59"/>
        <v>1</v>
      </c>
      <c r="I90" s="529">
        <f t="shared" si="59"/>
        <v>1</v>
      </c>
      <c r="J90" s="529">
        <f t="shared" si="59"/>
        <v>1</v>
      </c>
      <c r="K90" s="529">
        <f t="shared" si="59"/>
        <v>1</v>
      </c>
      <c r="L90" s="529">
        <f t="shared" si="59"/>
        <v>1</v>
      </c>
      <c r="M90" s="117">
        <f t="shared" si="59"/>
        <v>1</v>
      </c>
      <c r="N90" s="529">
        <f t="shared" si="59"/>
        <v>1</v>
      </c>
    </row>
    <row r="91" spans="1:14" x14ac:dyDescent="0.2">
      <c r="A91" s="34" t="str">
        <f t="shared" si="54"/>
        <v>≥ HM (Paramedic) Aircrewmen</v>
      </c>
      <c r="B91" s="529" t="str">
        <f t="shared" ref="B91:N91" si="60">IF($B140 = "NA","NA",ROUNDUP(IF(B$13="Deploy",MAX((B$104/100)*$B140,$B140),(B$104/100)*$B140),0))</f>
        <v>NA</v>
      </c>
      <c r="C91" s="529" t="str">
        <f t="shared" si="60"/>
        <v>NA</v>
      </c>
      <c r="D91" s="529" t="str">
        <f t="shared" si="60"/>
        <v>NA</v>
      </c>
      <c r="E91" s="529" t="str">
        <f t="shared" si="60"/>
        <v>NA</v>
      </c>
      <c r="F91" s="529" t="str">
        <f t="shared" si="60"/>
        <v>NA</v>
      </c>
      <c r="G91" s="529" t="str">
        <f t="shared" si="60"/>
        <v>NA</v>
      </c>
      <c r="H91" s="529" t="str">
        <f t="shared" si="60"/>
        <v>NA</v>
      </c>
      <c r="I91" s="529" t="str">
        <f t="shared" si="60"/>
        <v>NA</v>
      </c>
      <c r="J91" s="529" t="str">
        <f t="shared" si="60"/>
        <v>NA</v>
      </c>
      <c r="K91" s="529" t="str">
        <f t="shared" si="60"/>
        <v>NA</v>
      </c>
      <c r="L91" s="529" t="str">
        <f t="shared" si="60"/>
        <v>NA</v>
      </c>
      <c r="M91" s="117" t="str">
        <f t="shared" si="60"/>
        <v>NA</v>
      </c>
      <c r="N91" s="529" t="str">
        <f t="shared" si="60"/>
        <v>NA</v>
      </c>
    </row>
    <row r="92" spans="1:14" x14ac:dyDescent="0.2">
      <c r="A92" s="34" t="str">
        <f t="shared" si="54"/>
        <v>Required Skilled Crews</v>
      </c>
      <c r="B92" s="529">
        <f t="shared" ref="B92:N92" si="61">IF($B141 = "NA","NA",ROUNDUP(IF(B$13="Deploy",MAX((B$104/100)*$B141,$B141),(B$104/100)*$B141),0))</f>
        <v>7</v>
      </c>
      <c r="C92" s="529">
        <f t="shared" si="61"/>
        <v>7</v>
      </c>
      <c r="D92" s="529">
        <f t="shared" si="61"/>
        <v>7</v>
      </c>
      <c r="E92" s="529">
        <f t="shared" si="61"/>
        <v>6</v>
      </c>
      <c r="F92" s="529">
        <f t="shared" si="61"/>
        <v>6</v>
      </c>
      <c r="G92" s="529">
        <f t="shared" si="61"/>
        <v>7</v>
      </c>
      <c r="H92" s="529">
        <f t="shared" si="61"/>
        <v>7</v>
      </c>
      <c r="I92" s="529">
        <f t="shared" si="61"/>
        <v>7</v>
      </c>
      <c r="J92" s="529">
        <f t="shared" si="61"/>
        <v>7</v>
      </c>
      <c r="K92" s="529">
        <f t="shared" si="61"/>
        <v>6</v>
      </c>
      <c r="L92" s="529">
        <f t="shared" si="61"/>
        <v>6</v>
      </c>
      <c r="M92" s="117">
        <f t="shared" si="61"/>
        <v>6</v>
      </c>
      <c r="N92" s="529">
        <f t="shared" si="61"/>
        <v>3</v>
      </c>
    </row>
    <row r="93" spans="1:14" s="518" customFormat="1" ht="12.75" x14ac:dyDescent="0.2">
      <c r="A93" s="531" t="s">
        <v>166</v>
      </c>
      <c r="B93" s="532"/>
      <c r="C93" s="533"/>
      <c r="D93" s="533"/>
      <c r="E93" s="533"/>
      <c r="F93" s="533"/>
      <c r="G93" s="533"/>
      <c r="H93" s="533"/>
      <c r="I93" s="533"/>
      <c r="J93" s="533"/>
      <c r="K93" s="533"/>
      <c r="L93" s="533"/>
      <c r="M93" s="533"/>
      <c r="N93" s="650"/>
    </row>
    <row r="94" spans="1:14" s="518" customFormat="1" x14ac:dyDescent="0.2">
      <c r="A94" s="513" t="s">
        <v>167</v>
      </c>
      <c r="B94" s="535">
        <v>0.95</v>
      </c>
      <c r="C94" s="535">
        <v>0.95</v>
      </c>
      <c r="D94" s="535">
        <v>0.95</v>
      </c>
      <c r="E94" s="535">
        <v>0.95</v>
      </c>
      <c r="F94" s="535">
        <v>0.95</v>
      </c>
      <c r="G94" s="535">
        <v>0.95</v>
      </c>
      <c r="H94" s="535">
        <v>0.95</v>
      </c>
      <c r="I94" s="535">
        <v>0.95</v>
      </c>
      <c r="J94" s="535">
        <v>0.95</v>
      </c>
      <c r="K94" s="535">
        <v>0.95</v>
      </c>
      <c r="L94" s="535">
        <v>0.95</v>
      </c>
      <c r="M94" s="648">
        <v>0.95</v>
      </c>
      <c r="N94" s="535">
        <v>0.95</v>
      </c>
    </row>
    <row r="95" spans="1:14" s="518" customFormat="1" x14ac:dyDescent="0.2">
      <c r="A95" s="513" t="s">
        <v>168</v>
      </c>
      <c r="B95" s="354">
        <v>0.92</v>
      </c>
      <c r="C95" s="354">
        <v>0.92</v>
      </c>
      <c r="D95" s="354">
        <v>0.92</v>
      </c>
      <c r="E95" s="354">
        <v>0.92</v>
      </c>
      <c r="F95" s="354">
        <v>0.92</v>
      </c>
      <c r="G95" s="354">
        <v>0.92</v>
      </c>
      <c r="H95" s="354">
        <v>0.92</v>
      </c>
      <c r="I95" s="354">
        <v>0.92</v>
      </c>
      <c r="J95" s="354">
        <v>0.92</v>
      </c>
      <c r="K95" s="354">
        <v>0.92</v>
      </c>
      <c r="L95" s="354">
        <v>0.92</v>
      </c>
      <c r="M95" s="649">
        <v>0.92</v>
      </c>
      <c r="N95" s="354">
        <v>0.92</v>
      </c>
    </row>
    <row r="96" spans="1:14" s="518" customFormat="1" x14ac:dyDescent="0.2">
      <c r="A96" s="513" t="s">
        <v>169</v>
      </c>
      <c r="B96" s="354">
        <v>0.75</v>
      </c>
      <c r="C96" s="354">
        <v>0.75</v>
      </c>
      <c r="D96" s="354">
        <v>0.75</v>
      </c>
      <c r="E96" s="354">
        <v>0.75</v>
      </c>
      <c r="F96" s="354">
        <v>0.75</v>
      </c>
      <c r="G96" s="354">
        <v>0.75</v>
      </c>
      <c r="H96" s="354">
        <v>0.75</v>
      </c>
      <c r="I96" s="354">
        <v>0.75</v>
      </c>
      <c r="J96" s="354">
        <v>0.75</v>
      </c>
      <c r="K96" s="354">
        <v>0.75</v>
      </c>
      <c r="L96" s="354">
        <v>0.75</v>
      </c>
      <c r="M96" s="649">
        <v>0.75</v>
      </c>
      <c r="N96" s="354">
        <v>0.75</v>
      </c>
    </row>
    <row r="97" spans="1:14" ht="13.5" thickBot="1" x14ac:dyDescent="0.25">
      <c r="A97" s="537"/>
      <c r="B97" s="75"/>
      <c r="C97" s="537"/>
      <c r="D97" s="537"/>
      <c r="E97" s="537"/>
      <c r="F97" s="537"/>
      <c r="G97" s="537"/>
      <c r="H97" s="478"/>
      <c r="I97" s="538"/>
      <c r="J97" s="539"/>
      <c r="K97" s="540"/>
      <c r="L97" s="540"/>
      <c r="M97" s="478"/>
      <c r="N97" s="538"/>
    </row>
    <row r="98" spans="1:14" ht="13.5" thickBot="1" x14ac:dyDescent="0.25">
      <c r="A98" s="731" t="s">
        <v>170</v>
      </c>
      <c r="B98" s="732"/>
      <c r="C98" s="732"/>
      <c r="D98" s="732"/>
      <c r="E98" s="732"/>
      <c r="F98" s="732"/>
      <c r="G98" s="732"/>
      <c r="H98" s="732"/>
      <c r="I98" s="732"/>
      <c r="J98" s="732"/>
      <c r="K98" s="732"/>
      <c r="L98" s="732"/>
      <c r="M98" s="732"/>
      <c r="N98" s="733"/>
    </row>
    <row r="99" spans="1:14" x14ac:dyDescent="0.2">
      <c r="A99" s="111" t="s">
        <v>171</v>
      </c>
      <c r="B99" s="112">
        <f>MIN(100,B101+$B105)</f>
        <v>100</v>
      </c>
      <c r="C99" s="112">
        <f t="shared" ref="C99:N99" si="62">MIN(100,C101+$B105)</f>
        <v>100</v>
      </c>
      <c r="D99" s="112">
        <f t="shared" si="62"/>
        <v>100</v>
      </c>
      <c r="E99" s="112">
        <f t="shared" si="62"/>
        <v>100</v>
      </c>
      <c r="F99" s="112">
        <f t="shared" si="62"/>
        <v>100</v>
      </c>
      <c r="G99" s="112">
        <f t="shared" si="62"/>
        <v>100</v>
      </c>
      <c r="H99" s="112">
        <f t="shared" si="62"/>
        <v>100</v>
      </c>
      <c r="I99" s="112">
        <f t="shared" si="62"/>
        <v>100</v>
      </c>
      <c r="J99" s="112">
        <f t="shared" si="62"/>
        <v>100</v>
      </c>
      <c r="K99" s="112">
        <f t="shared" si="62"/>
        <v>100</v>
      </c>
      <c r="L99" s="112">
        <f t="shared" si="62"/>
        <v>100</v>
      </c>
      <c r="M99" s="112">
        <f t="shared" si="62"/>
        <v>97.92885347651233</v>
      </c>
      <c r="N99" s="113">
        <f t="shared" si="62"/>
        <v>47.928853476512337</v>
      </c>
    </row>
    <row r="100" spans="1:14" x14ac:dyDescent="0.2">
      <c r="A100" s="54" t="s">
        <v>172</v>
      </c>
      <c r="B100" s="55">
        <f>MIN(100,B101+$B106)</f>
        <v>100</v>
      </c>
      <c r="C100" s="55">
        <f t="shared" ref="C100:N100" si="63">MIN(100,C101+$B106)</f>
        <v>100</v>
      </c>
      <c r="D100" s="55">
        <f t="shared" si="63"/>
        <v>96.964426738256165</v>
      </c>
      <c r="E100" s="55">
        <f t="shared" si="63"/>
        <v>93.964426738256165</v>
      </c>
      <c r="F100" s="55">
        <f t="shared" si="63"/>
        <v>91.964426738256165</v>
      </c>
      <c r="G100" s="55">
        <f t="shared" si="63"/>
        <v>100</v>
      </c>
      <c r="H100" s="55">
        <f t="shared" si="63"/>
        <v>100</v>
      </c>
      <c r="I100" s="55">
        <f t="shared" si="63"/>
        <v>100</v>
      </c>
      <c r="J100" s="55">
        <f t="shared" si="63"/>
        <v>96.964426738256165</v>
      </c>
      <c r="K100" s="55">
        <f t="shared" si="63"/>
        <v>93.964426738256165</v>
      </c>
      <c r="L100" s="55">
        <f t="shared" si="63"/>
        <v>91.964426738256165</v>
      </c>
      <c r="M100" s="55">
        <f t="shared" si="63"/>
        <v>88.964426738256165</v>
      </c>
      <c r="N100" s="56">
        <f t="shared" si="63"/>
        <v>38.964426738256165</v>
      </c>
    </row>
    <row r="101" spans="1:14" x14ac:dyDescent="0.2">
      <c r="A101" s="54" t="s">
        <v>173</v>
      </c>
      <c r="B101" s="69">
        <v>100</v>
      </c>
      <c r="C101" s="69">
        <v>100</v>
      </c>
      <c r="D101" s="69">
        <v>88</v>
      </c>
      <c r="E101" s="69">
        <v>85</v>
      </c>
      <c r="F101" s="69">
        <v>83</v>
      </c>
      <c r="G101" s="69">
        <v>100</v>
      </c>
      <c r="H101" s="69">
        <v>100</v>
      </c>
      <c r="I101" s="69">
        <v>100</v>
      </c>
      <c r="J101" s="69">
        <v>88</v>
      </c>
      <c r="K101" s="69">
        <v>85</v>
      </c>
      <c r="L101" s="69">
        <v>83</v>
      </c>
      <c r="M101" s="69">
        <v>80</v>
      </c>
      <c r="N101" s="70">
        <v>30</v>
      </c>
    </row>
    <row r="102" spans="1:14" s="542" customFormat="1" x14ac:dyDescent="0.2">
      <c r="A102" s="54" t="s">
        <v>174</v>
      </c>
      <c r="B102" s="55">
        <f>MIN(80,IF(B$13="Deploy",80,MAX(0,B101-$B106)))</f>
        <v>80</v>
      </c>
      <c r="C102" s="55">
        <f t="shared" ref="C102:N102" si="64">MIN(80,IF(C$13="Deploy",80,MAX(0,C101-$B106)))</f>
        <v>80</v>
      </c>
      <c r="D102" s="55">
        <f t="shared" si="64"/>
        <v>79.035573261743835</v>
      </c>
      <c r="E102" s="55">
        <f t="shared" si="64"/>
        <v>76.035573261743835</v>
      </c>
      <c r="F102" s="55">
        <f t="shared" si="64"/>
        <v>74.035573261743835</v>
      </c>
      <c r="G102" s="55">
        <f t="shared" si="64"/>
        <v>80</v>
      </c>
      <c r="H102" s="55">
        <f t="shared" si="64"/>
        <v>80</v>
      </c>
      <c r="I102" s="55">
        <f t="shared" si="64"/>
        <v>80</v>
      </c>
      <c r="J102" s="55">
        <f t="shared" si="64"/>
        <v>79.035573261743835</v>
      </c>
      <c r="K102" s="55">
        <f t="shared" si="64"/>
        <v>76.035573261743835</v>
      </c>
      <c r="L102" s="55">
        <f t="shared" si="64"/>
        <v>74.035573261743835</v>
      </c>
      <c r="M102" s="55">
        <f t="shared" si="64"/>
        <v>71.035573261743835</v>
      </c>
      <c r="N102" s="56">
        <f t="shared" si="64"/>
        <v>21.035573261743831</v>
      </c>
    </row>
    <row r="103" spans="1:14" s="542" customFormat="1" ht="12.75" thickBot="1" x14ac:dyDescent="0.25">
      <c r="A103" s="57" t="s">
        <v>175</v>
      </c>
      <c r="B103" s="58">
        <f t="shared" ref="B103:N103" si="65">MIN(80,IF(B$13="Deploy",60,MAX(0,B101-$B105)))</f>
        <v>60</v>
      </c>
      <c r="C103" s="58">
        <f t="shared" si="65"/>
        <v>60</v>
      </c>
      <c r="D103" s="58">
        <f t="shared" si="65"/>
        <v>70.07114652348767</v>
      </c>
      <c r="E103" s="58">
        <f t="shared" si="65"/>
        <v>67.07114652348767</v>
      </c>
      <c r="F103" s="58">
        <f t="shared" si="65"/>
        <v>65.07114652348767</v>
      </c>
      <c r="G103" s="58">
        <f t="shared" si="65"/>
        <v>60</v>
      </c>
      <c r="H103" s="58">
        <f t="shared" si="65"/>
        <v>60</v>
      </c>
      <c r="I103" s="58">
        <f t="shared" si="65"/>
        <v>60</v>
      </c>
      <c r="J103" s="58">
        <f t="shared" si="65"/>
        <v>70.07114652348767</v>
      </c>
      <c r="K103" s="58">
        <f t="shared" si="65"/>
        <v>67.07114652348767</v>
      </c>
      <c r="L103" s="58">
        <f t="shared" si="65"/>
        <v>65.07114652348767</v>
      </c>
      <c r="M103" s="58">
        <f t="shared" si="65"/>
        <v>62.071146523487663</v>
      </c>
      <c r="N103" s="59">
        <f t="shared" si="65"/>
        <v>12.071146523487663</v>
      </c>
    </row>
    <row r="104" spans="1:14" ht="12.75" thickBot="1" x14ac:dyDescent="0.25">
      <c r="A104" s="219" t="s">
        <v>176</v>
      </c>
      <c r="B104" s="220">
        <v>100</v>
      </c>
      <c r="C104" s="220">
        <v>100</v>
      </c>
      <c r="D104" s="220">
        <v>88</v>
      </c>
      <c r="E104" s="220">
        <v>85</v>
      </c>
      <c r="F104" s="220">
        <v>83</v>
      </c>
      <c r="G104" s="220">
        <v>100</v>
      </c>
      <c r="H104" s="220">
        <v>100</v>
      </c>
      <c r="I104" s="220">
        <v>100</v>
      </c>
      <c r="J104" s="220">
        <v>88</v>
      </c>
      <c r="K104" s="220">
        <v>85</v>
      </c>
      <c r="L104" s="220">
        <v>83</v>
      </c>
      <c r="M104" s="220">
        <v>80</v>
      </c>
      <c r="N104" s="223">
        <v>30</v>
      </c>
    </row>
    <row r="105" spans="1:14" s="542" customFormat="1" x14ac:dyDescent="0.2">
      <c r="A105" s="543" t="s">
        <v>177</v>
      </c>
      <c r="B105" s="544">
        <f t="array" ref="B105">SQRT(SUM(POWER(AVERAGE(B101:N101)-(B101:N101),2))/COUNT(B101:N101))*1</f>
        <v>17.928853476512337</v>
      </c>
      <c r="C105" s="28"/>
      <c r="D105" s="28"/>
      <c r="E105" s="28"/>
      <c r="F105" s="28"/>
      <c r="G105" s="28"/>
      <c r="H105" s="28"/>
      <c r="I105" s="28"/>
      <c r="J105" s="28"/>
      <c r="K105" s="28"/>
      <c r="L105" s="28"/>
      <c r="M105" s="28"/>
      <c r="N105" s="28"/>
    </row>
    <row r="106" spans="1:14" s="542" customFormat="1" ht="12.75" thickBot="1" x14ac:dyDescent="0.25">
      <c r="A106" s="545" t="s">
        <v>178</v>
      </c>
      <c r="B106" s="546">
        <f>B105/2</f>
        <v>8.9644267382561686</v>
      </c>
      <c r="C106" s="28"/>
      <c r="D106" s="28"/>
      <c r="E106" s="28"/>
      <c r="F106" s="28"/>
      <c r="G106" s="28"/>
      <c r="H106" s="28"/>
      <c r="I106" s="28"/>
      <c r="J106" s="28"/>
      <c r="K106" s="28"/>
      <c r="L106" s="28"/>
      <c r="M106" s="28"/>
      <c r="N106" s="28"/>
    </row>
    <row r="107" spans="1:14" s="542" customFormat="1" ht="12.75" thickBot="1" x14ac:dyDescent="0.25">
      <c r="A107" s="28"/>
      <c r="B107" s="28"/>
      <c r="C107" s="28"/>
      <c r="D107" s="28"/>
      <c r="E107" s="28"/>
      <c r="F107" s="28"/>
      <c r="G107" s="28"/>
      <c r="H107" s="28"/>
      <c r="I107" s="28"/>
      <c r="J107" s="28"/>
      <c r="K107" s="28"/>
      <c r="L107" s="28"/>
      <c r="M107" s="28"/>
      <c r="N107" s="28"/>
    </row>
    <row r="108" spans="1:14" s="542" customFormat="1" ht="13.5" thickBot="1" x14ac:dyDescent="0.25">
      <c r="A108" s="734" t="s">
        <v>179</v>
      </c>
      <c r="B108" s="735"/>
      <c r="C108" s="493"/>
      <c r="D108" s="493"/>
      <c r="E108" s="493"/>
      <c r="F108" s="493"/>
      <c r="G108" s="493"/>
      <c r="H108" s="493"/>
      <c r="I108" s="493"/>
      <c r="J108" s="493"/>
      <c r="K108" s="493"/>
      <c r="L108" s="493"/>
      <c r="M108" s="493"/>
      <c r="N108" s="493"/>
    </row>
    <row r="109" spans="1:14" s="542" customFormat="1" ht="12.75" thickBot="1" x14ac:dyDescent="0.25">
      <c r="A109" s="736" t="s">
        <v>180</v>
      </c>
      <c r="B109" s="737"/>
      <c r="C109" s="493"/>
      <c r="D109" s="493"/>
      <c r="E109" s="493"/>
      <c r="F109" s="493"/>
      <c r="G109" s="493"/>
      <c r="H109" s="493"/>
      <c r="I109" s="493"/>
      <c r="J109" s="493"/>
      <c r="K109" s="493"/>
      <c r="L109" s="493"/>
      <c r="M109" s="493"/>
      <c r="N109" s="493"/>
    </row>
    <row r="110" spans="1:14" s="542" customFormat="1" x14ac:dyDescent="0.2">
      <c r="A110" s="281" t="s">
        <v>181</v>
      </c>
      <c r="B110" s="547">
        <v>18</v>
      </c>
      <c r="C110" s="28"/>
      <c r="D110" s="75"/>
      <c r="E110" s="28"/>
      <c r="F110" s="28"/>
      <c r="G110" s="28"/>
      <c r="H110" s="28"/>
      <c r="I110" s="28"/>
      <c r="J110" s="28"/>
      <c r="K110" s="28"/>
      <c r="L110" s="28"/>
      <c r="M110" s="28"/>
      <c r="N110" s="28"/>
    </row>
    <row r="111" spans="1:14" s="542" customFormat="1" x14ac:dyDescent="0.2">
      <c r="A111" s="282" t="s">
        <v>182</v>
      </c>
      <c r="B111" s="548">
        <v>18</v>
      </c>
      <c r="C111" s="28"/>
      <c r="D111" s="75"/>
      <c r="E111" s="28"/>
      <c r="F111" s="28"/>
      <c r="G111" s="28"/>
      <c r="H111" s="28"/>
      <c r="I111" s="28"/>
      <c r="J111" s="28"/>
      <c r="K111" s="28"/>
      <c r="L111" s="28"/>
      <c r="M111" s="28"/>
      <c r="N111" s="28"/>
    </row>
    <row r="112" spans="1:14" s="542" customFormat="1" x14ac:dyDescent="0.2">
      <c r="A112" s="282" t="s">
        <v>183</v>
      </c>
      <c r="B112" s="548">
        <v>1</v>
      </c>
      <c r="C112" s="28"/>
      <c r="D112" s="75"/>
      <c r="E112" s="493"/>
      <c r="F112" s="28"/>
      <c r="G112" s="28"/>
      <c r="H112" s="28"/>
      <c r="I112" s="28"/>
      <c r="J112" s="28"/>
      <c r="K112" s="28"/>
      <c r="L112" s="28"/>
      <c r="M112" s="28"/>
      <c r="N112" s="28"/>
    </row>
    <row r="113" spans="1:14" s="542" customFormat="1" x14ac:dyDescent="0.2">
      <c r="A113" s="282" t="s">
        <v>184</v>
      </c>
      <c r="B113" s="548">
        <v>2</v>
      </c>
      <c r="C113" s="28"/>
      <c r="D113" s="75"/>
      <c r="E113" s="493"/>
      <c r="F113" s="28"/>
      <c r="G113" s="28"/>
      <c r="H113" s="28"/>
      <c r="I113" s="28"/>
      <c r="J113" s="28"/>
      <c r="K113" s="28"/>
      <c r="L113" s="28"/>
      <c r="M113" s="28"/>
      <c r="N113" s="28"/>
    </row>
    <row r="114" spans="1:14" s="542" customFormat="1" x14ac:dyDescent="0.2">
      <c r="A114" s="282" t="s">
        <v>185</v>
      </c>
      <c r="B114" s="548">
        <v>3</v>
      </c>
      <c r="C114" s="28"/>
      <c r="D114" s="75"/>
      <c r="E114" s="493"/>
      <c r="F114" s="28"/>
      <c r="G114" s="28"/>
      <c r="H114" s="28"/>
      <c r="I114" s="28"/>
      <c r="J114" s="28"/>
      <c r="K114" s="28"/>
      <c r="L114" s="28"/>
      <c r="M114" s="28"/>
      <c r="N114" s="28"/>
    </row>
    <row r="115" spans="1:14" s="542" customFormat="1" x14ac:dyDescent="0.2">
      <c r="A115" s="282" t="s">
        <v>186</v>
      </c>
      <c r="B115" s="548">
        <v>7</v>
      </c>
      <c r="C115" s="28"/>
      <c r="D115" s="75"/>
      <c r="E115" s="493"/>
      <c r="F115" s="28"/>
      <c r="G115" s="28"/>
      <c r="H115" s="28"/>
      <c r="I115" s="28"/>
      <c r="J115" s="28"/>
      <c r="K115" s="28"/>
      <c r="L115" s="28"/>
      <c r="M115" s="28"/>
      <c r="N115" s="28"/>
    </row>
    <row r="116" spans="1:14" s="542" customFormat="1" x14ac:dyDescent="0.2">
      <c r="A116" s="282" t="s">
        <v>187</v>
      </c>
      <c r="B116" s="548">
        <v>18</v>
      </c>
      <c r="C116" s="28"/>
      <c r="D116" s="75"/>
      <c r="E116" s="493"/>
      <c r="F116" s="28"/>
      <c r="G116" s="28"/>
      <c r="H116" s="28"/>
      <c r="I116" s="28"/>
      <c r="J116" s="28"/>
      <c r="K116" s="28"/>
      <c r="L116" s="28"/>
      <c r="M116" s="28"/>
      <c r="N116" s="28"/>
    </row>
    <row r="117" spans="1:14" s="542" customFormat="1" x14ac:dyDescent="0.2">
      <c r="A117" s="282" t="s">
        <v>188</v>
      </c>
      <c r="B117" s="548">
        <v>1</v>
      </c>
      <c r="C117" s="28"/>
      <c r="D117" s="75"/>
      <c r="E117" s="493"/>
      <c r="F117" s="28"/>
      <c r="G117" s="28"/>
      <c r="H117" s="28"/>
      <c r="I117" s="28"/>
      <c r="J117" s="28"/>
      <c r="K117" s="28"/>
      <c r="L117" s="28"/>
      <c r="M117" s="28"/>
      <c r="N117" s="28"/>
    </row>
    <row r="118" spans="1:14" s="542" customFormat="1" x14ac:dyDescent="0.2">
      <c r="A118" s="282" t="s">
        <v>189</v>
      </c>
      <c r="B118" s="548">
        <v>2</v>
      </c>
      <c r="C118" s="28"/>
      <c r="D118" s="75"/>
      <c r="E118" s="493"/>
      <c r="F118" s="28"/>
      <c r="G118" s="28"/>
      <c r="H118" s="28"/>
      <c r="I118" s="28"/>
      <c r="J118" s="28"/>
      <c r="K118" s="28"/>
      <c r="L118" s="28"/>
      <c r="M118" s="72"/>
      <c r="N118" s="28"/>
    </row>
    <row r="119" spans="1:14" s="542" customFormat="1" x14ac:dyDescent="0.2">
      <c r="A119" s="282" t="s">
        <v>190</v>
      </c>
      <c r="B119" s="548">
        <v>2</v>
      </c>
      <c r="C119" s="28"/>
      <c r="D119" s="75"/>
      <c r="E119" s="493"/>
      <c r="F119" s="28"/>
      <c r="G119" s="28"/>
      <c r="H119" s="28"/>
      <c r="I119" s="28"/>
      <c r="J119" s="28"/>
      <c r="K119" s="28"/>
      <c r="L119" s="28"/>
      <c r="M119" s="72"/>
      <c r="N119" s="28"/>
    </row>
    <row r="120" spans="1:14" s="542" customFormat="1" x14ac:dyDescent="0.2">
      <c r="A120" s="282" t="s">
        <v>191</v>
      </c>
      <c r="B120" s="548">
        <v>4</v>
      </c>
      <c r="C120" s="28"/>
      <c r="D120" s="75"/>
      <c r="E120" s="493"/>
      <c r="F120" s="28"/>
      <c r="G120" s="28"/>
      <c r="H120" s="28"/>
      <c r="I120" s="28"/>
      <c r="J120" s="28"/>
      <c r="K120" s="28"/>
      <c r="L120" s="28"/>
      <c r="M120" s="28"/>
      <c r="N120" s="28"/>
    </row>
    <row r="121" spans="1:14" s="542" customFormat="1" x14ac:dyDescent="0.2">
      <c r="A121" s="282" t="s">
        <v>192</v>
      </c>
      <c r="B121" s="548" t="s">
        <v>193</v>
      </c>
      <c r="C121" s="28"/>
      <c r="D121" s="75"/>
      <c r="E121" s="493"/>
      <c r="F121" s="28"/>
      <c r="G121" s="28"/>
      <c r="H121" s="28"/>
      <c r="I121" s="28"/>
      <c r="J121" s="28"/>
      <c r="K121" s="28"/>
      <c r="L121" s="28"/>
      <c r="M121" s="28"/>
      <c r="N121" s="28"/>
    </row>
    <row r="122" spans="1:14" s="542" customFormat="1" x14ac:dyDescent="0.2">
      <c r="A122" s="282" t="s">
        <v>194</v>
      </c>
      <c r="B122" s="548" t="s">
        <v>193</v>
      </c>
      <c r="C122" s="28"/>
      <c r="D122" s="75"/>
      <c r="E122" s="493"/>
      <c r="F122" s="28"/>
      <c r="G122" s="28"/>
      <c r="H122" s="28"/>
      <c r="I122" s="28"/>
      <c r="J122" s="28"/>
      <c r="K122" s="28"/>
      <c r="L122" s="28"/>
      <c r="M122" s="28"/>
      <c r="N122" s="28"/>
    </row>
    <row r="123" spans="1:14" s="542" customFormat="1" x14ac:dyDescent="0.2">
      <c r="A123" s="282" t="s">
        <v>195</v>
      </c>
      <c r="B123" s="548" t="s">
        <v>193</v>
      </c>
      <c r="C123" s="28"/>
      <c r="D123" s="75"/>
      <c r="E123" s="28"/>
      <c r="F123" s="28"/>
      <c r="G123" s="28"/>
      <c r="H123" s="28"/>
      <c r="I123" s="28"/>
      <c r="J123" s="28"/>
      <c r="K123" s="28"/>
      <c r="L123" s="28"/>
      <c r="M123" s="28"/>
      <c r="N123" s="28"/>
    </row>
    <row r="124" spans="1:14" s="542" customFormat="1" x14ac:dyDescent="0.2">
      <c r="A124" s="282" t="s">
        <v>196</v>
      </c>
      <c r="B124" s="548" t="s">
        <v>193</v>
      </c>
      <c r="C124" s="28"/>
      <c r="D124" s="75"/>
      <c r="G124" s="28"/>
      <c r="H124" s="28"/>
      <c r="I124" s="28"/>
      <c r="J124" s="28"/>
      <c r="K124" s="28"/>
      <c r="L124" s="28"/>
      <c r="N124" s="28"/>
    </row>
    <row r="125" spans="1:14" s="542" customFormat="1" x14ac:dyDescent="0.2">
      <c r="A125" s="282" t="s">
        <v>197</v>
      </c>
      <c r="B125" s="548" t="s">
        <v>193</v>
      </c>
      <c r="C125" s="493"/>
      <c r="D125" s="75"/>
      <c r="G125" s="28"/>
      <c r="H125" s="28"/>
      <c r="I125" s="28"/>
      <c r="J125" s="493"/>
      <c r="K125" s="493"/>
      <c r="L125" s="493"/>
      <c r="N125" s="493"/>
    </row>
    <row r="126" spans="1:14" s="542" customFormat="1" x14ac:dyDescent="0.2">
      <c r="A126" s="282" t="s">
        <v>198</v>
      </c>
      <c r="B126" s="548">
        <v>2</v>
      </c>
      <c r="C126" s="28"/>
      <c r="D126" s="75"/>
      <c r="E126" s="28"/>
      <c r="F126" s="28"/>
      <c r="H126" s="28"/>
      <c r="I126" s="493"/>
      <c r="J126" s="28"/>
      <c r="K126" s="28"/>
      <c r="L126" s="28"/>
      <c r="M126" s="28"/>
      <c r="N126" s="28"/>
    </row>
    <row r="127" spans="1:14" s="542" customFormat="1" x14ac:dyDescent="0.2">
      <c r="A127" s="282" t="s">
        <v>199</v>
      </c>
      <c r="B127" s="548">
        <v>18</v>
      </c>
      <c r="C127" s="28"/>
      <c r="D127" s="75"/>
      <c r="E127" s="28"/>
      <c r="F127" s="28"/>
      <c r="I127" s="28"/>
      <c r="J127" s="28"/>
      <c r="K127" s="28"/>
      <c r="L127" s="28"/>
      <c r="M127" s="28"/>
      <c r="N127" s="28"/>
    </row>
    <row r="128" spans="1:14" s="542" customFormat="1" x14ac:dyDescent="0.2">
      <c r="A128" s="282" t="s">
        <v>200</v>
      </c>
      <c r="B128" s="548">
        <v>18</v>
      </c>
      <c r="C128" s="28"/>
      <c r="D128" s="28"/>
      <c r="E128" s="28"/>
      <c r="F128" s="28"/>
      <c r="G128" s="28"/>
      <c r="H128" s="28"/>
      <c r="I128" s="28"/>
      <c r="J128" s="28"/>
      <c r="K128" s="28"/>
      <c r="L128" s="28"/>
      <c r="M128" s="28"/>
      <c r="N128" s="28"/>
    </row>
    <row r="129" spans="1:21" s="542" customFormat="1" x14ac:dyDescent="0.2">
      <c r="A129" s="282" t="s">
        <v>201</v>
      </c>
      <c r="B129" s="548">
        <v>3</v>
      </c>
      <c r="C129" s="28"/>
      <c r="D129" s="28"/>
      <c r="E129" s="28"/>
      <c r="F129" s="28"/>
      <c r="G129" s="28"/>
      <c r="H129" s="28"/>
      <c r="I129" s="28"/>
      <c r="J129" s="28"/>
      <c r="K129" s="28"/>
      <c r="L129" s="28"/>
      <c r="M129" s="28"/>
      <c r="N129" s="28"/>
    </row>
    <row r="130" spans="1:21" s="542" customFormat="1" x14ac:dyDescent="0.2">
      <c r="A130" s="282" t="s">
        <v>202</v>
      </c>
      <c r="B130" s="548">
        <v>7</v>
      </c>
      <c r="C130" s="28"/>
      <c r="D130" s="28"/>
      <c r="E130" s="28"/>
      <c r="F130" s="28"/>
      <c r="G130" s="28"/>
      <c r="H130" s="28"/>
      <c r="I130" s="28"/>
      <c r="J130" s="28"/>
      <c r="K130" s="28"/>
      <c r="L130" s="28"/>
      <c r="M130" s="28"/>
      <c r="N130" s="28"/>
    </row>
    <row r="131" spans="1:21" s="542" customFormat="1" x14ac:dyDescent="0.2">
      <c r="A131" s="282" t="s">
        <v>203</v>
      </c>
      <c r="B131" s="548">
        <v>18</v>
      </c>
      <c r="C131" s="28"/>
      <c r="D131" s="28"/>
      <c r="E131" s="28"/>
      <c r="F131" s="28"/>
      <c r="G131" s="28"/>
      <c r="H131" s="28"/>
      <c r="I131" s="28"/>
      <c r="J131" s="28"/>
      <c r="K131" s="28"/>
      <c r="L131" s="28"/>
      <c r="M131" s="72"/>
      <c r="N131" s="28"/>
    </row>
    <row r="132" spans="1:21" s="542" customFormat="1" x14ac:dyDescent="0.2">
      <c r="A132" s="282" t="s">
        <v>204</v>
      </c>
      <c r="B132" s="548">
        <v>2</v>
      </c>
      <c r="C132" s="28"/>
      <c r="D132" s="28"/>
      <c r="E132" s="28"/>
      <c r="F132" s="28"/>
      <c r="G132" s="28"/>
      <c r="H132" s="28"/>
      <c r="I132" s="28"/>
      <c r="J132" s="28"/>
      <c r="K132" s="28"/>
      <c r="L132" s="28"/>
      <c r="M132" s="28"/>
      <c r="N132" s="28"/>
    </row>
    <row r="133" spans="1:21" s="542" customFormat="1" x14ac:dyDescent="0.2">
      <c r="A133" s="282" t="s">
        <v>205</v>
      </c>
      <c r="B133" s="548" t="s">
        <v>193</v>
      </c>
      <c r="C133" s="28"/>
      <c r="D133" s="28"/>
      <c r="E133" s="28"/>
      <c r="F133" s="28"/>
      <c r="G133" s="28"/>
      <c r="H133" s="28"/>
      <c r="I133" s="28"/>
      <c r="J133" s="28"/>
      <c r="K133" s="28"/>
      <c r="L133" s="28"/>
      <c r="M133" s="28"/>
      <c r="N133" s="28"/>
    </row>
    <row r="134" spans="1:21" s="542" customFormat="1" x14ac:dyDescent="0.2">
      <c r="A134" s="282" t="s">
        <v>206</v>
      </c>
      <c r="B134" s="548" t="s">
        <v>193</v>
      </c>
      <c r="C134" s="28"/>
      <c r="D134" s="28"/>
      <c r="G134" s="28"/>
      <c r="H134" s="28"/>
      <c r="I134" s="28"/>
      <c r="J134" s="28"/>
      <c r="K134" s="28"/>
      <c r="L134" s="28"/>
      <c r="N134" s="28"/>
    </row>
    <row r="135" spans="1:21" s="542" customFormat="1" x14ac:dyDescent="0.2">
      <c r="A135" s="282" t="s">
        <v>207</v>
      </c>
      <c r="B135" s="548" t="s">
        <v>193</v>
      </c>
      <c r="C135" s="28"/>
      <c r="D135" s="28"/>
      <c r="G135" s="28"/>
      <c r="H135" s="28"/>
      <c r="I135" s="28"/>
      <c r="J135" s="28"/>
      <c r="K135" s="28"/>
      <c r="L135" s="28"/>
      <c r="N135" s="28"/>
    </row>
    <row r="136" spans="1:21" s="542" customFormat="1" x14ac:dyDescent="0.2">
      <c r="A136" s="282" t="s">
        <v>208</v>
      </c>
      <c r="B136" s="548" t="s">
        <v>193</v>
      </c>
      <c r="C136" s="28"/>
      <c r="D136" s="28"/>
      <c r="G136" s="28"/>
      <c r="H136" s="28"/>
      <c r="I136" s="28"/>
      <c r="J136" s="28"/>
      <c r="K136" s="28"/>
      <c r="L136" s="28"/>
      <c r="N136" s="28"/>
    </row>
    <row r="137" spans="1:21" s="542" customFormat="1" x14ac:dyDescent="0.2">
      <c r="A137" s="282" t="s">
        <v>209</v>
      </c>
      <c r="B137" s="548">
        <v>2</v>
      </c>
      <c r="C137" s="28"/>
      <c r="D137" s="28"/>
      <c r="G137" s="28"/>
      <c r="H137" s="28"/>
      <c r="I137" s="28"/>
      <c r="J137" s="28"/>
      <c r="K137" s="28"/>
      <c r="L137" s="28"/>
      <c r="N137" s="28"/>
    </row>
    <row r="138" spans="1:21" s="542" customFormat="1" x14ac:dyDescent="0.2">
      <c r="A138" s="282" t="s">
        <v>210</v>
      </c>
      <c r="B138" s="548">
        <v>14</v>
      </c>
      <c r="C138" s="28"/>
      <c r="D138" s="28"/>
      <c r="G138" s="28"/>
      <c r="H138" s="28"/>
      <c r="I138" s="28"/>
      <c r="J138" s="28"/>
      <c r="K138" s="28"/>
      <c r="L138" s="28"/>
      <c r="N138" s="28"/>
    </row>
    <row r="139" spans="1:21" s="542" customFormat="1" x14ac:dyDescent="0.2">
      <c r="A139" s="282" t="s">
        <v>211</v>
      </c>
      <c r="B139" s="548">
        <v>1</v>
      </c>
      <c r="C139" s="28"/>
      <c r="D139" s="28"/>
      <c r="G139" s="28"/>
      <c r="H139" s="28"/>
      <c r="I139" s="28"/>
      <c r="J139" s="28"/>
      <c r="K139" s="28"/>
      <c r="L139" s="28"/>
      <c r="N139" s="28"/>
    </row>
    <row r="140" spans="1:21" s="542" customFormat="1" x14ac:dyDescent="0.2">
      <c r="A140" s="282" t="s">
        <v>212</v>
      </c>
      <c r="B140" s="548" t="s">
        <v>193</v>
      </c>
      <c r="C140" s="28"/>
      <c r="D140" s="28"/>
      <c r="G140" s="28"/>
      <c r="H140" s="28"/>
      <c r="I140" s="28"/>
      <c r="J140" s="28"/>
      <c r="K140" s="28"/>
      <c r="L140" s="28"/>
      <c r="N140" s="28"/>
    </row>
    <row r="141" spans="1:21" s="542" customFormat="1" ht="12.75" thickBot="1" x14ac:dyDescent="0.25">
      <c r="A141" s="436" t="s">
        <v>213</v>
      </c>
      <c r="B141" s="549">
        <v>7</v>
      </c>
      <c r="C141" s="28"/>
      <c r="D141" s="28"/>
      <c r="G141" s="28"/>
      <c r="H141" s="28"/>
      <c r="I141" s="28"/>
      <c r="J141" s="28"/>
      <c r="K141" s="28"/>
      <c r="L141" s="28"/>
      <c r="N141" s="28"/>
    </row>
    <row r="142" spans="1:21" ht="12.75" thickBot="1" x14ac:dyDescent="0.25"/>
    <row r="143" spans="1:21" s="105" customFormat="1" ht="13.5" thickBot="1" x14ac:dyDescent="0.25">
      <c r="A143" s="738" t="s">
        <v>214</v>
      </c>
      <c r="B143" s="739"/>
      <c r="T143" s="550"/>
      <c r="U143" s="550"/>
    </row>
    <row r="144" spans="1:21" s="105" customFormat="1" x14ac:dyDescent="0.2">
      <c r="A144" s="126" t="s">
        <v>215</v>
      </c>
      <c r="B144" s="127"/>
      <c r="C144" s="127"/>
      <c r="D144" s="127" t="s">
        <v>216</v>
      </c>
      <c r="E144" s="127" t="s">
        <v>216</v>
      </c>
      <c r="F144" s="127" t="s">
        <v>216</v>
      </c>
      <c r="G144" s="127"/>
      <c r="H144" s="127"/>
      <c r="I144" s="127"/>
      <c r="J144" s="127" t="s">
        <v>216</v>
      </c>
      <c r="K144" s="127" t="s">
        <v>216</v>
      </c>
      <c r="L144" s="127" t="s">
        <v>216</v>
      </c>
      <c r="M144" s="127" t="s">
        <v>216</v>
      </c>
      <c r="N144" s="130" t="s">
        <v>216</v>
      </c>
    </row>
    <row r="145" spans="1:29" s="105" customFormat="1" ht="12.75" thickBot="1" x14ac:dyDescent="0.25">
      <c r="A145" s="128" t="s">
        <v>217</v>
      </c>
      <c r="B145" s="129" t="s">
        <v>216</v>
      </c>
      <c r="C145" s="129" t="s">
        <v>216</v>
      </c>
      <c r="D145" s="129"/>
      <c r="E145" s="129"/>
      <c r="F145" s="129"/>
      <c r="G145" s="129" t="s">
        <v>216</v>
      </c>
      <c r="H145" s="129" t="s">
        <v>216</v>
      </c>
      <c r="I145" s="129" t="s">
        <v>216</v>
      </c>
      <c r="J145" s="129"/>
      <c r="K145" s="129"/>
      <c r="L145" s="129"/>
      <c r="M145" s="129"/>
      <c r="N145" s="131"/>
    </row>
    <row r="146" spans="1:29" ht="12.75" thickBot="1" x14ac:dyDescent="0.25"/>
    <row r="147" spans="1:29" s="105" customFormat="1" ht="13.5" thickBot="1" x14ac:dyDescent="0.25">
      <c r="A147" s="551" t="s">
        <v>219</v>
      </c>
      <c r="B147" s="740" t="s">
        <v>220</v>
      </c>
      <c r="C147" s="741"/>
      <c r="D147" s="742" t="s">
        <v>221</v>
      </c>
      <c r="E147" s="743"/>
      <c r="F147" s="744" t="s">
        <v>222</v>
      </c>
      <c r="G147" s="745"/>
      <c r="H147" s="28"/>
      <c r="I147" s="552" t="s">
        <v>223</v>
      </c>
      <c r="J147" s="28"/>
      <c r="K147" s="28"/>
      <c r="L147" s="28"/>
      <c r="M147" s="28"/>
      <c r="N147" s="28"/>
      <c r="O147" s="28"/>
      <c r="P147" s="28"/>
      <c r="Q147" s="28"/>
      <c r="R147" s="28"/>
      <c r="S147" s="28"/>
      <c r="T147" s="28"/>
      <c r="U147" s="28"/>
      <c r="V147" s="28"/>
      <c r="W147" s="28"/>
      <c r="X147" s="28"/>
      <c r="Y147" s="28"/>
      <c r="Z147" s="28"/>
      <c r="AA147" s="28"/>
      <c r="AB147" s="28"/>
      <c r="AC147" s="28"/>
    </row>
    <row r="148" spans="1:29" ht="13.5" thickBot="1" x14ac:dyDescent="0.25">
      <c r="A148" s="553" t="s">
        <v>224</v>
      </c>
      <c r="B148" s="297"/>
      <c r="C148" s="297"/>
      <c r="D148" s="297"/>
      <c r="E148" s="297"/>
      <c r="F148" s="297"/>
      <c r="G148" s="298"/>
      <c r="I148" s="554" t="s">
        <v>62</v>
      </c>
    </row>
    <row r="149" spans="1:29" x14ac:dyDescent="0.2">
      <c r="A149" s="555" t="s">
        <v>225</v>
      </c>
      <c r="B149" s="233">
        <f>MAX(B35:AC35)</f>
        <v>5</v>
      </c>
      <c r="C149" s="233"/>
      <c r="D149" s="234">
        <v>4</v>
      </c>
      <c r="E149" s="234">
        <v>3</v>
      </c>
      <c r="F149" s="235">
        <v>2</v>
      </c>
      <c r="G149" s="236">
        <v>0</v>
      </c>
    </row>
    <row r="150" spans="1:29" ht="12.75" thickBot="1" x14ac:dyDescent="0.25">
      <c r="A150" s="555" t="s">
        <v>226</v>
      </c>
      <c r="B150" s="228">
        <f>B149</f>
        <v>5</v>
      </c>
      <c r="C150" s="228">
        <f>ROUNDDOWN(MAX(B36:AC36),0)</f>
        <v>4</v>
      </c>
      <c r="D150" s="230">
        <v>3</v>
      </c>
      <c r="E150" s="230"/>
      <c r="F150" s="231">
        <v>2</v>
      </c>
      <c r="G150" s="232">
        <v>0</v>
      </c>
    </row>
    <row r="151" spans="1:29" ht="12.75" thickBot="1" x14ac:dyDescent="0.25">
      <c r="A151" s="553" t="str">
        <f t="shared" ref="A151:A172" si="66">A38</f>
        <v>Integrated Mission Systems</v>
      </c>
      <c r="B151" s="297"/>
      <c r="C151" s="297"/>
      <c r="D151" s="297"/>
      <c r="E151" s="297"/>
      <c r="F151" s="297"/>
      <c r="G151" s="298"/>
    </row>
    <row r="152" spans="1:29" x14ac:dyDescent="0.2">
      <c r="A152" s="556" t="str">
        <f t="shared" si="66"/>
        <v>Ready MH-60S Cargo Transport Mission Systems (C)</v>
      </c>
      <c r="B152" s="229">
        <f>$B$150</f>
        <v>5</v>
      </c>
      <c r="C152" s="233">
        <f>ROUNDDOWN(MAX(B39:AC39),0)</f>
        <v>2</v>
      </c>
      <c r="D152" s="299">
        <v>1</v>
      </c>
      <c r="E152" s="299">
        <v>1</v>
      </c>
      <c r="F152" s="300">
        <v>0</v>
      </c>
      <c r="G152" s="301">
        <v>0</v>
      </c>
    </row>
    <row r="153" spans="1:29" x14ac:dyDescent="0.2">
      <c r="A153" s="555" t="str">
        <f t="shared" si="66"/>
        <v>Ready MH-60S Airborne Mine Counter Measures (AMCM) Mission Systems (D)</v>
      </c>
      <c r="B153" s="224" t="s">
        <v>227</v>
      </c>
      <c r="C153" s="224"/>
      <c r="D153" s="225"/>
      <c r="E153" s="225"/>
      <c r="F153" s="226"/>
      <c r="G153" s="227"/>
    </row>
    <row r="154" spans="1:29" x14ac:dyDescent="0.2">
      <c r="A154" s="555" t="str">
        <f t="shared" si="66"/>
        <v>Ready MH-60S Active/Passive Countermeasures Mission Systems (E)</v>
      </c>
      <c r="B154" s="224">
        <f>$B$150</f>
        <v>5</v>
      </c>
      <c r="C154" s="224">
        <f>ROUNDDOWN(MAX(B41:AC41),0)</f>
        <v>3</v>
      </c>
      <c r="D154" s="225">
        <v>2</v>
      </c>
      <c r="E154" s="225">
        <v>2</v>
      </c>
      <c r="F154" s="226">
        <v>1</v>
      </c>
      <c r="G154" s="227">
        <v>0</v>
      </c>
    </row>
    <row r="155" spans="1:29" x14ac:dyDescent="0.2">
      <c r="A155" s="555" t="str">
        <f t="shared" si="66"/>
        <v>Ready MH-60S CSAR, SUW, and Spec Warfare Mission Systems (F)</v>
      </c>
      <c r="B155" s="224">
        <f>$B$150</f>
        <v>5</v>
      </c>
      <c r="C155" s="224">
        <f>ROUNDDOWN(MAX(B42:AC42),0)</f>
        <v>3</v>
      </c>
      <c r="D155" s="225">
        <v>2</v>
      </c>
      <c r="E155" s="225">
        <v>2</v>
      </c>
      <c r="F155" s="226">
        <v>1</v>
      </c>
      <c r="G155" s="227">
        <v>0</v>
      </c>
    </row>
    <row r="156" spans="1:29" x14ac:dyDescent="0.2">
      <c r="A156" s="555" t="str">
        <f t="shared" si="66"/>
        <v>Ready MH-60S Personnel Transport Mission Systems (G)</v>
      </c>
      <c r="B156" s="228">
        <f>$B$150</f>
        <v>5</v>
      </c>
      <c r="C156" s="224">
        <f>ROUNDDOWN(MAX(B43:AC43),0)</f>
        <v>2</v>
      </c>
      <c r="D156" s="225">
        <v>1</v>
      </c>
      <c r="E156" s="225">
        <v>1</v>
      </c>
      <c r="F156" s="226">
        <v>0</v>
      </c>
      <c r="G156" s="232">
        <v>0</v>
      </c>
    </row>
    <row r="157" spans="1:29" x14ac:dyDescent="0.2">
      <c r="A157" s="555" t="str">
        <f t="shared" si="66"/>
        <v>Ready MH-60S SAR\MEDIVAC Mission Systems (H)</v>
      </c>
      <c r="B157" s="228">
        <f>$B$150</f>
        <v>5</v>
      </c>
      <c r="C157" s="224">
        <f>ROUNDDOWN(MAX(B44:AC44),0)</f>
        <v>2</v>
      </c>
      <c r="D157" s="225">
        <v>1</v>
      </c>
      <c r="E157" s="225">
        <v>1</v>
      </c>
      <c r="F157" s="226">
        <v>0</v>
      </c>
      <c r="G157" s="232">
        <v>0</v>
      </c>
    </row>
    <row r="158" spans="1:29" x14ac:dyDescent="0.2">
      <c r="A158" s="555" t="str">
        <f t="shared" si="66"/>
        <v>Ready MH-60S Mission Support Systems (I)</v>
      </c>
      <c r="B158" s="224" t="s">
        <v>227</v>
      </c>
      <c r="C158" s="224"/>
      <c r="D158" s="225"/>
      <c r="E158" s="225"/>
      <c r="F158" s="226"/>
      <c r="G158" s="232"/>
    </row>
    <row r="159" spans="1:29" x14ac:dyDescent="0.2">
      <c r="A159" s="555" t="str">
        <f t="shared" si="66"/>
        <v>Ready MH-60S Fixed Forward Firing Systems (J)</v>
      </c>
      <c r="B159" s="228">
        <f>$B$150</f>
        <v>5</v>
      </c>
      <c r="C159" s="224">
        <f>ROUNDDOWN(MAX(B46:AC46),0)</f>
        <v>3</v>
      </c>
      <c r="D159" s="225">
        <v>2</v>
      </c>
      <c r="E159" s="225">
        <v>2</v>
      </c>
      <c r="F159" s="226">
        <v>1</v>
      </c>
      <c r="G159" s="232">
        <v>0</v>
      </c>
    </row>
    <row r="160" spans="1:29" x14ac:dyDescent="0.2">
      <c r="A160" s="555" t="str">
        <f t="shared" si="66"/>
        <v>Ready MH-60S Shipboard Mission Systems (K)</v>
      </c>
      <c r="B160" s="224">
        <f>$B$150</f>
        <v>5</v>
      </c>
      <c r="C160" s="224">
        <f>ROUNDDOWN(MAX(B47:AC47),0)</f>
        <v>4</v>
      </c>
      <c r="D160" s="225">
        <v>3</v>
      </c>
      <c r="E160" s="225">
        <v>3</v>
      </c>
      <c r="F160" s="226">
        <v>2</v>
      </c>
      <c r="G160" s="227">
        <v>0</v>
      </c>
    </row>
    <row r="161" spans="1:7" ht="12.75" thickBot="1" x14ac:dyDescent="0.25">
      <c r="A161" s="555" t="str">
        <f t="shared" si="66"/>
        <v>Ready MH-60S IMC Flight Mission Systems (L)</v>
      </c>
      <c r="B161" s="224">
        <f>$B$150</f>
        <v>5</v>
      </c>
      <c r="C161" s="224">
        <v>4</v>
      </c>
      <c r="D161" s="225">
        <v>3</v>
      </c>
      <c r="E161" s="225">
        <v>3</v>
      </c>
      <c r="F161" s="226">
        <v>2</v>
      </c>
      <c r="G161" s="227">
        <v>0</v>
      </c>
    </row>
    <row r="162" spans="1:7" ht="12.75" thickBot="1" x14ac:dyDescent="0.25">
      <c r="A162" s="553" t="str">
        <f t="shared" si="66"/>
        <v>Non-Integrated Mission Systems</v>
      </c>
      <c r="B162" s="297"/>
      <c r="C162" s="297"/>
      <c r="D162" s="297"/>
      <c r="E162" s="297"/>
      <c r="F162" s="297"/>
      <c r="G162" s="298"/>
    </row>
    <row r="163" spans="1:7" x14ac:dyDescent="0.2">
      <c r="A163" s="557" t="str">
        <f t="shared" si="66"/>
        <v>Assigned M-299 Sets</v>
      </c>
      <c r="B163" s="233">
        <f>MAX(B50:AC50)</f>
        <v>10</v>
      </c>
      <c r="C163" s="224">
        <f>ROUNDDOWN(MAX(B50:AC50),0)</f>
        <v>10</v>
      </c>
      <c r="D163" s="234">
        <v>9</v>
      </c>
      <c r="E163" s="234">
        <v>8</v>
      </c>
      <c r="F163" s="235">
        <v>7</v>
      </c>
      <c r="G163" s="302">
        <v>0</v>
      </c>
    </row>
    <row r="164" spans="1:7" x14ac:dyDescent="0.2">
      <c r="A164" s="558" t="str">
        <f t="shared" si="66"/>
        <v>Ready M-299 Sets</v>
      </c>
      <c r="B164" s="224">
        <f>B163</f>
        <v>10</v>
      </c>
      <c r="C164" s="224">
        <f>ROUNDDOWN(MAX(B51:AC51),0)</f>
        <v>8</v>
      </c>
      <c r="D164" s="225">
        <v>7</v>
      </c>
      <c r="E164" s="225">
        <v>5</v>
      </c>
      <c r="F164" s="226">
        <v>4</v>
      </c>
      <c r="G164" s="295">
        <v>0</v>
      </c>
    </row>
    <row r="165" spans="1:7" x14ac:dyDescent="0.2">
      <c r="A165" s="558" t="str">
        <f t="shared" si="66"/>
        <v>Assigned 20-mm Sets</v>
      </c>
      <c r="B165" s="224">
        <f>MAX(B52:AC52)</f>
        <v>3</v>
      </c>
      <c r="C165" s="224">
        <v>3</v>
      </c>
      <c r="D165" s="225">
        <v>2</v>
      </c>
      <c r="E165" s="225">
        <v>2</v>
      </c>
      <c r="F165" s="226">
        <v>1</v>
      </c>
      <c r="G165" s="295">
        <v>0</v>
      </c>
    </row>
    <row r="166" spans="1:7" x14ac:dyDescent="0.2">
      <c r="A166" s="558" t="str">
        <f t="shared" si="66"/>
        <v>Ready 20-mm Sets</v>
      </c>
      <c r="B166" s="224">
        <f t="shared" ref="B166" si="67">B165</f>
        <v>3</v>
      </c>
      <c r="C166" s="224">
        <v>3</v>
      </c>
      <c r="D166" s="225">
        <v>2</v>
      </c>
      <c r="E166" s="225">
        <v>2</v>
      </c>
      <c r="F166" s="226">
        <v>1</v>
      </c>
      <c r="G166" s="295">
        <v>0</v>
      </c>
    </row>
    <row r="167" spans="1:7" x14ac:dyDescent="0.2">
      <c r="A167" s="558" t="str">
        <f t="shared" si="66"/>
        <v>Assigned GAU-21 Sets</v>
      </c>
      <c r="B167" s="233">
        <f>MAX(B54:AC54)</f>
        <v>10</v>
      </c>
      <c r="C167" s="224">
        <f>ROUNDDOWN(MAX(B54:AC54),0)</f>
        <v>10</v>
      </c>
      <c r="D167" s="234">
        <v>9</v>
      </c>
      <c r="E167" s="234">
        <v>8</v>
      </c>
      <c r="F167" s="235">
        <v>7</v>
      </c>
      <c r="G167" s="302">
        <v>0</v>
      </c>
    </row>
    <row r="168" spans="1:7" x14ac:dyDescent="0.2">
      <c r="A168" s="558" t="str">
        <f t="shared" si="66"/>
        <v>Ready GAU-21 Sets</v>
      </c>
      <c r="B168" s="224">
        <f>B167</f>
        <v>10</v>
      </c>
      <c r="C168" s="224">
        <f>ROUNDDOWN(MAX(B55:AC55),0)</f>
        <v>8</v>
      </c>
      <c r="D168" s="225">
        <v>7</v>
      </c>
      <c r="E168" s="225">
        <v>5</v>
      </c>
      <c r="F168" s="226">
        <v>4</v>
      </c>
      <c r="G168" s="295">
        <v>0</v>
      </c>
    </row>
    <row r="169" spans="1:7" x14ac:dyDescent="0.2">
      <c r="A169" s="558" t="str">
        <f t="shared" si="66"/>
        <v>Assigned M-240 Sets</v>
      </c>
      <c r="B169" s="233">
        <f>MAX(B56:AC56)</f>
        <v>10</v>
      </c>
      <c r="C169" s="224">
        <f>ROUNDDOWN(MAX(B56:AC56),0)</f>
        <v>10</v>
      </c>
      <c r="D169" s="234">
        <v>9</v>
      </c>
      <c r="E169" s="234">
        <v>8</v>
      </c>
      <c r="F169" s="235">
        <v>7</v>
      </c>
      <c r="G169" s="302">
        <v>0</v>
      </c>
    </row>
    <row r="170" spans="1:7" x14ac:dyDescent="0.2">
      <c r="A170" s="558" t="str">
        <f t="shared" si="66"/>
        <v>Ready M-240 Sets</v>
      </c>
      <c r="B170" s="224">
        <f>B169</f>
        <v>10</v>
      </c>
      <c r="C170" s="224">
        <f>ROUNDDOWN(MAX(B57:AC57),0)</f>
        <v>8</v>
      </c>
      <c r="D170" s="225">
        <v>7</v>
      </c>
      <c r="E170" s="225">
        <v>5</v>
      </c>
      <c r="F170" s="226">
        <v>4</v>
      </c>
      <c r="G170" s="295">
        <v>0</v>
      </c>
    </row>
    <row r="171" spans="1:7" x14ac:dyDescent="0.2">
      <c r="A171" s="558" t="str">
        <f t="shared" si="66"/>
        <v>Assigned Full Motion Video Systems</v>
      </c>
      <c r="B171" s="224" t="s">
        <v>227</v>
      </c>
      <c r="C171" s="224"/>
      <c r="D171" s="225"/>
      <c r="E171" s="225"/>
      <c r="F171" s="226"/>
      <c r="G171" s="295"/>
    </row>
    <row r="172" spans="1:7" ht="12.75" thickBot="1" x14ac:dyDescent="0.25">
      <c r="A172" s="559" t="str">
        <f t="shared" si="66"/>
        <v>Ready Full Motion Video Systems</v>
      </c>
      <c r="B172" s="237" t="s">
        <v>227</v>
      </c>
      <c r="C172" s="237"/>
      <c r="D172" s="238"/>
      <c r="E172" s="238"/>
      <c r="F172" s="239"/>
      <c r="G172" s="296"/>
    </row>
    <row r="175" spans="1:7" x14ac:dyDescent="0.2">
      <c r="A175" s="631" t="s">
        <v>228</v>
      </c>
      <c r="B175" s="631" t="s">
        <v>229</v>
      </c>
    </row>
    <row r="176" spans="1:7" x14ac:dyDescent="0.2">
      <c r="A176" s="632" t="s">
        <v>230</v>
      </c>
      <c r="B176" s="670">
        <f>HLOOKUP($B$175,'MH-60S Mission System Summary'!$B$1:$J$12,2,FALSE)</f>
        <v>0.85329397260848727</v>
      </c>
    </row>
    <row r="177" spans="1:2" x14ac:dyDescent="0.2">
      <c r="A177" s="632" t="str">
        <f t="shared" ref="A177:A186" si="68">A39</f>
        <v>Ready MH-60S Cargo Transport Mission Systems (C)</v>
      </c>
      <c r="B177" s="670">
        <f>HLOOKUP($B$175,'MH-60S Mission System Summary'!$B$1:$J$12,3,FALSE)</f>
        <v>0.57500808631648892</v>
      </c>
    </row>
    <row r="178" spans="1:2" x14ac:dyDescent="0.2">
      <c r="A178" s="632" t="str">
        <f t="shared" si="68"/>
        <v>Ready MH-60S Airborne Mine Counter Measures (AMCM) Mission Systems (D)</v>
      </c>
      <c r="B178" s="670">
        <f>HLOOKUP($B$175,'MH-60S Mission System Summary'!$B$1:$J$12,4,FALSE)</f>
        <v>0</v>
      </c>
    </row>
    <row r="179" spans="1:2" x14ac:dyDescent="0.2">
      <c r="A179" s="632" t="str">
        <f t="shared" si="68"/>
        <v>Ready MH-60S Active/Passive Countermeasures Mission Systems (E)</v>
      </c>
      <c r="B179" s="670">
        <f>HLOOKUP($B$175,'MH-60S Mission System Summary'!$B$1:$J$12,5,FALSE)</f>
        <v>0.79800747307366393</v>
      </c>
    </row>
    <row r="180" spans="1:2" x14ac:dyDescent="0.2">
      <c r="A180" s="632" t="str">
        <f t="shared" si="68"/>
        <v>Ready MH-60S CSAR, SUW, and Spec Warfare Mission Systems (F)</v>
      </c>
      <c r="B180" s="670">
        <f>HLOOKUP($B$175,'MH-60S Mission System Summary'!$B$1:$J$12,6,FALSE)</f>
        <v>0.79800747307366393</v>
      </c>
    </row>
    <row r="181" spans="1:2" x14ac:dyDescent="0.2">
      <c r="A181" s="632" t="str">
        <f t="shared" si="68"/>
        <v>Ready MH-60S Personnel Transport Mission Systems (G)</v>
      </c>
      <c r="B181" s="670">
        <f>HLOOKUP($B$175,'MH-60S Mission System Summary'!$B$1:$J$12,7,FALSE)</f>
        <v>0.50565749436885021</v>
      </c>
    </row>
    <row r="182" spans="1:2" x14ac:dyDescent="0.2">
      <c r="A182" s="632" t="str">
        <f t="shared" si="68"/>
        <v>Ready MH-60S SAR\MEDIVAC Mission Systems (H)</v>
      </c>
      <c r="B182" s="670">
        <f>HLOOKUP($B$175,'MH-60S Mission System Summary'!$B$1:$J$12,8,FALSE)</f>
        <v>0.50565749436885021</v>
      </c>
    </row>
    <row r="183" spans="1:2" x14ac:dyDescent="0.2">
      <c r="A183" s="632" t="str">
        <f t="shared" si="68"/>
        <v>Ready MH-60S Mission Support Systems (I)</v>
      </c>
      <c r="B183" s="670">
        <f>HLOOKUP($B$175,'MH-60S Mission System Summary'!$B$1:$J$12,9,FALSE)</f>
        <v>0</v>
      </c>
    </row>
    <row r="184" spans="1:2" x14ac:dyDescent="0.2">
      <c r="A184" s="632" t="str">
        <f t="shared" si="68"/>
        <v>Ready MH-60S Fixed Forward Firing Systems (J)</v>
      </c>
      <c r="B184" s="670">
        <f>HLOOKUP($B$175,'MH-60S Mission System Summary'!$B$1:$J$12,10,FALSE)</f>
        <v>0.76187444475179777</v>
      </c>
    </row>
    <row r="185" spans="1:2" x14ac:dyDescent="0.2">
      <c r="A185" s="632" t="str">
        <f t="shared" si="68"/>
        <v>Ready MH-60S Shipboard Mission Systems (K)</v>
      </c>
      <c r="B185" s="670">
        <f>HLOOKUP($B$175,'MH-60S Mission System Summary'!$B$1:$J$12,11,FALSE)</f>
        <v>0.19503756295252275</v>
      </c>
    </row>
    <row r="186" spans="1:2" x14ac:dyDescent="0.2">
      <c r="A186" s="632" t="str">
        <f t="shared" si="68"/>
        <v>Ready MH-60S IMC Flight Mission Systems (L)</v>
      </c>
      <c r="B186" s="670">
        <f>HLOOKUP($B$175,'MH-60S Mission System Summary'!$B$1:$J$12,12,FALSE)</f>
        <v>1</v>
      </c>
    </row>
  </sheetData>
  <mergeCells count="13">
    <mergeCell ref="A1:G1"/>
    <mergeCell ref="M1:O1"/>
    <mergeCell ref="B16:C16"/>
    <mergeCell ref="D16:F16"/>
    <mergeCell ref="G16:I16"/>
    <mergeCell ref="K16:M16"/>
    <mergeCell ref="A98:N98"/>
    <mergeCell ref="A108:B108"/>
    <mergeCell ref="A109:B109"/>
    <mergeCell ref="A143:B143"/>
    <mergeCell ref="B147:C147"/>
    <mergeCell ref="D147:E147"/>
    <mergeCell ref="F147:G147"/>
  </mergeCells>
  <conditionalFormatting sqref="C149:C150 C164:C166 C152:C153 C158 C161">
    <cfRule type="cellIs" dxfId="493" priority="45" operator="equal">
      <formula>B149</formula>
    </cfRule>
  </conditionalFormatting>
  <conditionalFormatting sqref="D149:E150 D163:E166 D152:E153 D158:E158 D161:E161">
    <cfRule type="cellIs" dxfId="492" priority="44" operator="equal">
      <formula>C149</formula>
    </cfRule>
  </conditionalFormatting>
  <conditionalFormatting sqref="E149">
    <cfRule type="cellIs" dxfId="491" priority="43" operator="equal">
      <formula>D149</formula>
    </cfRule>
  </conditionalFormatting>
  <conditionalFormatting sqref="F149">
    <cfRule type="cellIs" dxfId="490" priority="42" operator="equal">
      <formula>E149</formula>
    </cfRule>
  </conditionalFormatting>
  <conditionalFormatting sqref="F150 F163:F164 F152:F153 F158 F161">
    <cfRule type="cellIs" dxfId="489" priority="40" operator="equal">
      <formula>G150</formula>
    </cfRule>
    <cfRule type="cellIs" dxfId="488" priority="41" operator="equal">
      <formula>E150</formula>
    </cfRule>
  </conditionalFormatting>
  <conditionalFormatting sqref="F165:F166">
    <cfRule type="cellIs" dxfId="487" priority="38" operator="equal">
      <formula>G165</formula>
    </cfRule>
    <cfRule type="cellIs" dxfId="486" priority="39" operator="equal">
      <formula>E165</formula>
    </cfRule>
  </conditionalFormatting>
  <conditionalFormatting sqref="F172">
    <cfRule type="cellIs" dxfId="485" priority="36" operator="equal">
      <formula>G134</formula>
    </cfRule>
    <cfRule type="cellIs" dxfId="484" priority="37" operator="equal">
      <formula>E134</formula>
    </cfRule>
  </conditionalFormatting>
  <conditionalFormatting sqref="F171">
    <cfRule type="cellIs" dxfId="483" priority="46" operator="equal">
      <formula>#REF!</formula>
    </cfRule>
    <cfRule type="cellIs" dxfId="482" priority="47" operator="equal">
      <formula>E132</formula>
    </cfRule>
  </conditionalFormatting>
  <conditionalFormatting sqref="D171:E172">
    <cfRule type="cellIs" dxfId="481" priority="48" operator="equal">
      <formula>C132</formula>
    </cfRule>
  </conditionalFormatting>
  <conditionalFormatting sqref="C171:C172">
    <cfRule type="cellIs" dxfId="480" priority="49" operator="equal">
      <formula>B132</formula>
    </cfRule>
  </conditionalFormatting>
  <conditionalFormatting sqref="C154">
    <cfRule type="cellIs" dxfId="479" priority="35" operator="equal">
      <formula>B154</formula>
    </cfRule>
  </conditionalFormatting>
  <conditionalFormatting sqref="D154:E154">
    <cfRule type="cellIs" dxfId="478" priority="34" operator="equal">
      <formula>C154</formula>
    </cfRule>
  </conditionalFormatting>
  <conditionalFormatting sqref="F154">
    <cfRule type="cellIs" dxfId="477" priority="32" operator="equal">
      <formula>G154</formula>
    </cfRule>
    <cfRule type="cellIs" dxfId="476" priority="33" operator="equal">
      <formula>E154</formula>
    </cfRule>
  </conditionalFormatting>
  <conditionalFormatting sqref="C155">
    <cfRule type="cellIs" dxfId="475" priority="31" operator="equal">
      <formula>B155</formula>
    </cfRule>
  </conditionalFormatting>
  <conditionalFormatting sqref="D155:E155">
    <cfRule type="cellIs" dxfId="474" priority="30" operator="equal">
      <formula>C155</formula>
    </cfRule>
  </conditionalFormatting>
  <conditionalFormatting sqref="F155">
    <cfRule type="cellIs" dxfId="473" priority="28" operator="equal">
      <formula>G155</formula>
    </cfRule>
    <cfRule type="cellIs" dxfId="472" priority="29" operator="equal">
      <formula>E155</formula>
    </cfRule>
  </conditionalFormatting>
  <conditionalFormatting sqref="C156">
    <cfRule type="cellIs" dxfId="471" priority="27" operator="equal">
      <formula>B156</formula>
    </cfRule>
  </conditionalFormatting>
  <conditionalFormatting sqref="D156:E156">
    <cfRule type="cellIs" dxfId="470" priority="26" operator="equal">
      <formula>C156</formula>
    </cfRule>
  </conditionalFormatting>
  <conditionalFormatting sqref="F156">
    <cfRule type="cellIs" dxfId="469" priority="24" operator="equal">
      <formula>G156</formula>
    </cfRule>
    <cfRule type="cellIs" dxfId="468" priority="25" operator="equal">
      <formula>E156</formula>
    </cfRule>
  </conditionalFormatting>
  <conditionalFormatting sqref="C157">
    <cfRule type="cellIs" dxfId="467" priority="23" operator="equal">
      <formula>B157</formula>
    </cfRule>
  </conditionalFormatting>
  <conditionalFormatting sqref="D157:E157">
    <cfRule type="cellIs" dxfId="466" priority="22" operator="equal">
      <formula>C157</formula>
    </cfRule>
  </conditionalFormatting>
  <conditionalFormatting sqref="F157">
    <cfRule type="cellIs" dxfId="465" priority="20" operator="equal">
      <formula>G157</formula>
    </cfRule>
    <cfRule type="cellIs" dxfId="464" priority="21" operator="equal">
      <formula>E157</formula>
    </cfRule>
  </conditionalFormatting>
  <conditionalFormatting sqref="C159">
    <cfRule type="cellIs" dxfId="463" priority="19" operator="equal">
      <formula>B159</formula>
    </cfRule>
  </conditionalFormatting>
  <conditionalFormatting sqref="D159:E159">
    <cfRule type="cellIs" dxfId="462" priority="18" operator="equal">
      <formula>C159</formula>
    </cfRule>
  </conditionalFormatting>
  <conditionalFormatting sqref="F159">
    <cfRule type="cellIs" dxfId="461" priority="16" operator="equal">
      <formula>G159</formula>
    </cfRule>
    <cfRule type="cellIs" dxfId="460" priority="17" operator="equal">
      <formula>E159</formula>
    </cfRule>
  </conditionalFormatting>
  <conditionalFormatting sqref="C160">
    <cfRule type="cellIs" dxfId="459" priority="15" operator="equal">
      <formula>B160</formula>
    </cfRule>
  </conditionalFormatting>
  <conditionalFormatting sqref="D160:E160">
    <cfRule type="cellIs" dxfId="458" priority="14" operator="equal">
      <formula>C160</formula>
    </cfRule>
  </conditionalFormatting>
  <conditionalFormatting sqref="F160">
    <cfRule type="cellIs" dxfId="457" priority="12" operator="equal">
      <formula>G160</formula>
    </cfRule>
    <cfRule type="cellIs" dxfId="456" priority="13" operator="equal">
      <formula>E160</formula>
    </cfRule>
  </conditionalFormatting>
  <conditionalFormatting sqref="C163">
    <cfRule type="cellIs" dxfId="455" priority="11" operator="equal">
      <formula>B163</formula>
    </cfRule>
  </conditionalFormatting>
  <conditionalFormatting sqref="C168">
    <cfRule type="cellIs" dxfId="454" priority="10" operator="equal">
      <formula>B168</formula>
    </cfRule>
  </conditionalFormatting>
  <conditionalFormatting sqref="D167:E168">
    <cfRule type="cellIs" dxfId="453" priority="9" operator="equal">
      <formula>C167</formula>
    </cfRule>
  </conditionalFormatting>
  <conditionalFormatting sqref="F167:F168">
    <cfRule type="cellIs" dxfId="452" priority="7" operator="equal">
      <formula>G167</formula>
    </cfRule>
    <cfRule type="cellIs" dxfId="451" priority="8" operator="equal">
      <formula>E167</formula>
    </cfRule>
  </conditionalFormatting>
  <conditionalFormatting sqref="C167">
    <cfRule type="cellIs" dxfId="450" priority="6" operator="equal">
      <formula>B167</formula>
    </cfRule>
  </conditionalFormatting>
  <conditionalFormatting sqref="C170">
    <cfRule type="cellIs" dxfId="449" priority="5" operator="equal">
      <formula>B170</formula>
    </cfRule>
  </conditionalFormatting>
  <conditionalFormatting sqref="D169:E170">
    <cfRule type="cellIs" dxfId="448" priority="4" operator="equal">
      <formula>C169</formula>
    </cfRule>
  </conditionalFormatting>
  <conditionalFormatting sqref="F169:F170">
    <cfRule type="cellIs" dxfId="447" priority="2" operator="equal">
      <formula>G169</formula>
    </cfRule>
    <cfRule type="cellIs" dxfId="446" priority="3" operator="equal">
      <formula>E169</formula>
    </cfRule>
  </conditionalFormatting>
  <conditionalFormatting sqref="C169">
    <cfRule type="cellIs" dxfId="445" priority="1" operator="equal">
      <formula>B169</formula>
    </cfRule>
  </conditionalFormatting>
  <hyperlinks>
    <hyperlink ref="H1" location="Inventory!A1" display="Inventory" xr:uid="{00000000-0004-0000-0300-000000000000}"/>
    <hyperlink ref="I147" location="'HSC CVW 5AC FDNF DRRS'!A1" display="Top" xr:uid="{00000000-0004-0000-0300-000001000000}"/>
    <hyperlink ref="H2" location="'HSC CVW 5AC FDNF DRRS'!A172" display="AMFOM" xr:uid="{00000000-0004-0000-0300-000002000000}"/>
    <hyperlink ref="I148" location="Inventory!A1" display="Inventory" xr:uid="{00000000-0004-0000-0300-000003000000}"/>
  </hyperlinks>
  <printOptions horizontalCentered="1" verticalCentered="1"/>
  <pageMargins left="0.5" right="0.25" top="0.5" bottom="0.5" header="0.5" footer="0.5"/>
  <pageSetup scale="27"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G186"/>
  <sheetViews>
    <sheetView showGridLines="0" zoomScaleSheetLayoutView="100" workbookViewId="0">
      <selection activeCell="A177" sqref="A177"/>
    </sheetView>
  </sheetViews>
  <sheetFormatPr defaultColWidth="8.85546875" defaultRowHeight="12" x14ac:dyDescent="0.2"/>
  <cols>
    <col min="1" max="1" width="62" style="28" bestFit="1" customWidth="1"/>
    <col min="2" max="29" width="5.7109375" style="28" customWidth="1"/>
    <col min="30" max="30" width="7" style="28" bestFit="1" customWidth="1"/>
    <col min="31" max="31" width="5.7109375" style="28" customWidth="1"/>
    <col min="32" max="32" width="4.5703125" style="28" bestFit="1" customWidth="1"/>
    <col min="33" max="16384" width="8.85546875" style="28"/>
  </cols>
  <sheetData>
    <row r="1" spans="1:30" s="245" customFormat="1" ht="18.75" x14ac:dyDescent="0.3">
      <c r="A1" s="769" t="s">
        <v>233</v>
      </c>
      <c r="B1" s="769"/>
      <c r="C1" s="769"/>
      <c r="D1" s="769"/>
      <c r="E1" s="769"/>
      <c r="F1" s="157"/>
      <c r="G1" s="157"/>
      <c r="H1" s="194" t="s">
        <v>62</v>
      </c>
      <c r="K1" s="150"/>
      <c r="L1" s="151" t="s">
        <v>3</v>
      </c>
      <c r="M1" s="770">
        <v>44835</v>
      </c>
      <c r="N1" s="771"/>
      <c r="O1" s="772"/>
      <c r="P1" s="772"/>
      <c r="Q1" s="246"/>
      <c r="R1" s="247"/>
      <c r="S1" s="152"/>
      <c r="T1" s="152"/>
      <c r="U1" s="152"/>
      <c r="V1" s="152"/>
      <c r="W1" s="152"/>
      <c r="AC1" s="423" t="s">
        <v>63</v>
      </c>
      <c r="AD1" s="424">
        <v>7.03</v>
      </c>
    </row>
    <row r="2" spans="1:30" s="253" customFormat="1" x14ac:dyDescent="0.2">
      <c r="A2" s="248" t="s">
        <v>64</v>
      </c>
      <c r="B2" s="249">
        <v>3</v>
      </c>
      <c r="C2" s="250"/>
      <c r="D2" s="250"/>
      <c r="E2" s="250"/>
      <c r="F2" s="250"/>
      <c r="G2" s="251"/>
      <c r="H2" s="622" t="s">
        <v>1</v>
      </c>
      <c r="I2" s="252"/>
      <c r="J2" s="252"/>
      <c r="K2" s="252"/>
      <c r="L2" s="252"/>
      <c r="N2" s="9"/>
      <c r="O2" s="9"/>
      <c r="Q2" s="195"/>
      <c r="R2" s="196"/>
      <c r="S2" s="2"/>
      <c r="T2" s="248"/>
      <c r="U2" s="15"/>
      <c r="V2" s="15"/>
      <c r="W2" s="15"/>
      <c r="X2" s="9"/>
      <c r="Y2" s="9"/>
      <c r="Z2" s="9"/>
      <c r="AA2" s="9"/>
      <c r="AB2" s="9"/>
      <c r="AC2" s="9"/>
    </row>
    <row r="3" spans="1:30" s="253" customFormat="1" ht="11.25" x14ac:dyDescent="0.2">
      <c r="A3" s="248" t="s">
        <v>65</v>
      </c>
      <c r="B3" s="254">
        <f>B4/B2</f>
        <v>1.5</v>
      </c>
      <c r="C3" s="255"/>
      <c r="D3" s="255"/>
      <c r="E3" s="256"/>
      <c r="F3" s="197"/>
      <c r="G3" s="257"/>
      <c r="H3" s="248"/>
      <c r="I3" s="258"/>
      <c r="J3" s="258"/>
      <c r="K3" s="259"/>
      <c r="L3" s="260"/>
      <c r="N3" s="9"/>
      <c r="O3" s="9"/>
      <c r="Q3" s="195"/>
      <c r="R3" s="196"/>
      <c r="S3" s="2"/>
      <c r="T3" s="254"/>
      <c r="U3" s="765"/>
      <c r="V3" s="765"/>
      <c r="W3" s="765"/>
      <c r="X3" s="9"/>
      <c r="Y3" s="9"/>
      <c r="Z3" s="9"/>
      <c r="AA3" s="9"/>
      <c r="AB3" s="9"/>
      <c r="AC3" s="9"/>
    </row>
    <row r="4" spans="1:30" s="253" customFormat="1" ht="11.25" x14ac:dyDescent="0.2">
      <c r="A4" s="248" t="s">
        <v>66</v>
      </c>
      <c r="B4" s="248">
        <v>4.5</v>
      </c>
      <c r="C4" s="14"/>
      <c r="D4" s="15"/>
      <c r="E4" s="15"/>
      <c r="F4" s="261"/>
      <c r="G4" s="262"/>
      <c r="H4" s="2"/>
      <c r="I4" s="258"/>
      <c r="J4" s="258"/>
      <c r="K4" s="259"/>
      <c r="L4" s="260"/>
      <c r="N4" s="9"/>
      <c r="O4" s="9"/>
      <c r="Q4" s="195"/>
      <c r="R4" s="197"/>
      <c r="S4" s="2"/>
      <c r="T4" s="248"/>
      <c r="U4" s="14"/>
      <c r="V4" s="15"/>
      <c r="W4" s="15"/>
      <c r="X4" s="9"/>
      <c r="Y4" s="9"/>
      <c r="Z4" s="9"/>
      <c r="AA4" s="9"/>
      <c r="AB4" s="9"/>
      <c r="AC4" s="9"/>
    </row>
    <row r="5" spans="1:30" s="253" customFormat="1" ht="11.25" x14ac:dyDescent="0.2">
      <c r="A5" s="248" t="s">
        <v>67</v>
      </c>
      <c r="B5" s="263">
        <v>2</v>
      </c>
      <c r="C5" s="14"/>
      <c r="D5" s="15"/>
      <c r="E5" s="15"/>
      <c r="F5" s="23"/>
      <c r="G5" s="2"/>
      <c r="H5" s="2"/>
      <c r="I5" s="258"/>
      <c r="J5" s="258"/>
      <c r="K5" s="259"/>
      <c r="L5" s="260"/>
      <c r="N5" s="9"/>
      <c r="O5" s="9"/>
      <c r="Q5" s="195"/>
      <c r="R5" s="197"/>
      <c r="S5" s="2"/>
      <c r="T5" s="263"/>
      <c r="U5" s="14"/>
      <c r="V5" s="15"/>
      <c r="W5" s="15"/>
      <c r="X5" s="9"/>
      <c r="Y5" s="9"/>
      <c r="Z5" s="9"/>
      <c r="AA5" s="9"/>
      <c r="AB5" s="9"/>
      <c r="AC5" s="9"/>
    </row>
    <row r="6" spans="1:30" s="253" customFormat="1" ht="11.25" x14ac:dyDescent="0.2">
      <c r="A6" s="264" t="s">
        <v>68</v>
      </c>
      <c r="B6" s="2">
        <v>27.8</v>
      </c>
      <c r="C6" s="21"/>
      <c r="D6" s="22"/>
      <c r="E6" s="22"/>
      <c r="F6" s="23"/>
      <c r="G6" s="2"/>
      <c r="H6" s="2"/>
      <c r="I6" s="265"/>
      <c r="J6" s="265"/>
      <c r="K6" s="266"/>
      <c r="L6" s="260"/>
      <c r="M6" s="9"/>
      <c r="N6" s="9"/>
      <c r="O6" s="9"/>
      <c r="Q6" s="195"/>
      <c r="R6" s="197"/>
      <c r="S6" s="2"/>
      <c r="T6" s="248"/>
      <c r="U6" s="21"/>
      <c r="V6" s="22"/>
      <c r="W6" s="22"/>
      <c r="X6" s="9"/>
      <c r="Y6" s="9"/>
      <c r="Z6" s="9"/>
      <c r="AA6" s="9"/>
      <c r="AB6" s="9"/>
      <c r="AC6" s="9"/>
    </row>
    <row r="7" spans="1:30" s="8" customFormat="1" ht="11.25" x14ac:dyDescent="0.2">
      <c r="A7" s="7" t="s">
        <v>69</v>
      </c>
      <c r="B7" s="65">
        <f>B6*B4</f>
        <v>125.10000000000001</v>
      </c>
      <c r="C7" s="14"/>
      <c r="D7" s="14"/>
      <c r="E7" s="15"/>
      <c r="F7" s="20"/>
      <c r="G7" s="18"/>
      <c r="H7" s="18"/>
      <c r="I7" s="258"/>
      <c r="J7" s="258"/>
      <c r="K7" s="259"/>
      <c r="L7" s="260"/>
      <c r="M7" s="11"/>
      <c r="N7" s="11"/>
      <c r="O7" s="11"/>
      <c r="Q7" s="195"/>
      <c r="R7" s="197"/>
      <c r="S7" s="18"/>
      <c r="T7" s="10"/>
      <c r="U7" s="14"/>
      <c r="V7" s="14"/>
      <c r="W7" s="15"/>
      <c r="X7" s="11"/>
      <c r="Y7" s="11"/>
      <c r="Z7" s="11"/>
      <c r="AA7" s="11"/>
      <c r="AB7" s="11"/>
      <c r="AC7" s="11"/>
    </row>
    <row r="8" spans="1:30" s="8" customFormat="1" ht="11.25" x14ac:dyDescent="0.2">
      <c r="A8" s="7" t="s">
        <v>70</v>
      </c>
      <c r="B8" s="65">
        <f>B7/B5</f>
        <v>62.550000000000004</v>
      </c>
      <c r="C8" s="13"/>
      <c r="D8" s="14"/>
      <c r="E8" s="14"/>
      <c r="F8" s="20"/>
      <c r="G8" s="18"/>
      <c r="H8" s="18"/>
      <c r="I8" s="11"/>
      <c r="J8" s="11"/>
      <c r="K8" s="11"/>
      <c r="L8" s="11"/>
      <c r="M8" s="11"/>
      <c r="N8" s="11"/>
      <c r="O8" s="11"/>
      <c r="Q8" s="195"/>
      <c r="R8" s="197"/>
      <c r="S8" s="18"/>
      <c r="T8" s="10"/>
      <c r="U8" s="13"/>
      <c r="V8" s="14"/>
      <c r="W8" s="14"/>
      <c r="X8" s="11"/>
      <c r="Y8" s="11"/>
      <c r="Z8" s="11"/>
      <c r="AA8" s="11"/>
      <c r="AB8" s="11"/>
      <c r="AC8" s="11"/>
    </row>
    <row r="9" spans="1:30" s="8" customFormat="1" ht="11.25" x14ac:dyDescent="0.2">
      <c r="A9" s="7" t="s">
        <v>234</v>
      </c>
      <c r="B9" s="65">
        <f>B4*C9</f>
        <v>4.5</v>
      </c>
      <c r="C9" s="23">
        <v>1</v>
      </c>
      <c r="D9" s="25" t="s">
        <v>72</v>
      </c>
      <c r="E9" s="14"/>
      <c r="F9" s="20"/>
      <c r="G9" s="18" t="s">
        <v>73</v>
      </c>
      <c r="H9" s="133">
        <v>0.4</v>
      </c>
      <c r="I9" s="11"/>
      <c r="J9" s="11"/>
      <c r="K9" s="11"/>
      <c r="L9" s="11"/>
      <c r="M9" s="11"/>
      <c r="N9" s="11"/>
      <c r="O9" s="11"/>
      <c r="Q9" s="195"/>
      <c r="R9" s="197"/>
      <c r="S9" s="18"/>
      <c r="T9" s="10"/>
      <c r="U9" s="23"/>
      <c r="V9" s="24"/>
      <c r="W9" s="14"/>
      <c r="X9" s="11"/>
      <c r="Y9" s="11"/>
      <c r="Z9" s="11"/>
      <c r="AA9" s="11"/>
      <c r="AB9" s="11"/>
      <c r="AC9" s="11"/>
    </row>
    <row r="10" spans="1:30" s="8" customFormat="1" ht="11.25" x14ac:dyDescent="0.2">
      <c r="A10" s="7" t="s">
        <v>74</v>
      </c>
      <c r="B10" s="11">
        <f>B4*C10</f>
        <v>84.24</v>
      </c>
      <c r="C10" s="23">
        <v>18.72</v>
      </c>
      <c r="D10" s="25" t="s">
        <v>72</v>
      </c>
      <c r="E10" s="11"/>
      <c r="F10" s="20"/>
      <c r="G10" s="134" t="s">
        <v>75</v>
      </c>
      <c r="H10" s="454">
        <v>0.39100000000000001</v>
      </c>
      <c r="I10" s="11"/>
      <c r="J10" s="11"/>
      <c r="K10" s="11"/>
      <c r="L10" s="11"/>
      <c r="M10" s="11"/>
      <c r="N10" s="11"/>
      <c r="O10" s="11"/>
      <c r="Q10" s="195"/>
      <c r="R10" s="197"/>
      <c r="S10" s="18"/>
      <c r="T10" s="11"/>
      <c r="U10" s="23"/>
      <c r="V10" s="24"/>
      <c r="W10" s="11"/>
      <c r="X10" s="11"/>
      <c r="Y10" s="11"/>
      <c r="Z10" s="11"/>
      <c r="AA10" s="11"/>
      <c r="AB10" s="11"/>
      <c r="AC10" s="11"/>
    </row>
    <row r="11" spans="1:30" s="8" customFormat="1" ht="11.25" x14ac:dyDescent="0.2">
      <c r="A11" s="7" t="s">
        <v>76</v>
      </c>
      <c r="B11" s="8">
        <f>C11*B4</f>
        <v>4.5</v>
      </c>
      <c r="C11" s="9">
        <v>1</v>
      </c>
      <c r="D11" s="25" t="s">
        <v>72</v>
      </c>
      <c r="E11" s="25"/>
      <c r="F11" s="11"/>
      <c r="G11" s="11"/>
      <c r="H11" s="11"/>
      <c r="I11" s="11"/>
      <c r="J11" s="11"/>
      <c r="K11" s="11"/>
      <c r="L11" s="11"/>
      <c r="M11" s="11"/>
      <c r="N11" s="11"/>
      <c r="O11" s="11"/>
      <c r="P11" s="11"/>
      <c r="Q11" s="195"/>
      <c r="R11" s="197"/>
      <c r="S11" s="11"/>
      <c r="T11" s="11"/>
      <c r="U11" s="11"/>
      <c r="V11" s="11"/>
      <c r="W11" s="11"/>
      <c r="X11" s="11"/>
      <c r="Y11" s="11"/>
      <c r="Z11" s="11"/>
      <c r="AA11" s="11"/>
      <c r="AB11" s="11"/>
      <c r="AC11" s="11"/>
    </row>
    <row r="12" spans="1:30" s="8" customFormat="1" ht="11.25" x14ac:dyDescent="0.2">
      <c r="A12" s="267"/>
      <c r="B12" s="268"/>
      <c r="C12" s="269"/>
      <c r="D12" s="24"/>
      <c r="E12" s="25"/>
      <c r="F12" s="11"/>
      <c r="G12" s="11"/>
      <c r="H12" s="11"/>
      <c r="I12" s="11"/>
      <c r="J12" s="11"/>
      <c r="K12" s="11"/>
      <c r="L12" s="11"/>
      <c r="M12" s="11"/>
      <c r="N12" s="11"/>
      <c r="O12" s="11"/>
      <c r="P12" s="11"/>
      <c r="Q12" s="195"/>
      <c r="R12" s="197"/>
      <c r="S12" s="11"/>
      <c r="T12" s="11"/>
      <c r="U12" s="11"/>
      <c r="V12" s="11"/>
      <c r="W12" s="11"/>
      <c r="X12" s="11"/>
      <c r="Y12" s="11"/>
      <c r="Z12" s="11"/>
      <c r="AA12" s="11"/>
      <c r="AB12" s="11"/>
      <c r="AC12" s="11"/>
    </row>
    <row r="13" spans="1:30" s="26" customFormat="1" ht="59.25" x14ac:dyDescent="0.2">
      <c r="A13" s="270" t="s">
        <v>77</v>
      </c>
      <c r="B13" s="271" t="s">
        <v>78</v>
      </c>
      <c r="C13" s="271" t="s">
        <v>78</v>
      </c>
      <c r="D13" s="271" t="s">
        <v>78</v>
      </c>
      <c r="E13" s="271" t="s">
        <v>78</v>
      </c>
      <c r="F13" s="271" t="s">
        <v>78</v>
      </c>
      <c r="G13" s="271" t="s">
        <v>78</v>
      </c>
      <c r="H13" s="271" t="s">
        <v>79</v>
      </c>
      <c r="I13" s="271" t="s">
        <v>79</v>
      </c>
      <c r="J13" s="271" t="s">
        <v>79</v>
      </c>
      <c r="K13" s="67" t="s">
        <v>81</v>
      </c>
      <c r="L13" s="67" t="s">
        <v>81</v>
      </c>
      <c r="M13" s="67" t="s">
        <v>81</v>
      </c>
      <c r="N13" s="271" t="s">
        <v>120</v>
      </c>
      <c r="O13" s="271" t="s">
        <v>120</v>
      </c>
      <c r="P13" s="271" t="s">
        <v>120</v>
      </c>
      <c r="Q13" s="271" t="s">
        <v>120</v>
      </c>
      <c r="R13" s="271" t="s">
        <v>83</v>
      </c>
      <c r="S13" s="271" t="s">
        <v>83</v>
      </c>
      <c r="T13" s="271" t="s">
        <v>83</v>
      </c>
      <c r="U13" s="271" t="s">
        <v>83</v>
      </c>
      <c r="V13" s="271" t="s">
        <v>83</v>
      </c>
      <c r="W13" s="271" t="s">
        <v>83</v>
      </c>
      <c r="X13" s="271" t="s">
        <v>120</v>
      </c>
      <c r="Y13" s="271" t="s">
        <v>120</v>
      </c>
      <c r="Z13" s="271" t="s">
        <v>120</v>
      </c>
      <c r="AA13" s="271" t="s">
        <v>120</v>
      </c>
      <c r="AB13" s="651" t="s">
        <v>120</v>
      </c>
      <c r="AC13" s="272" t="s">
        <v>84</v>
      </c>
    </row>
    <row r="14" spans="1:30" s="27" customFormat="1" x14ac:dyDescent="0.2">
      <c r="A14" s="270" t="s">
        <v>85</v>
      </c>
      <c r="B14" s="273" t="s">
        <v>86</v>
      </c>
      <c r="C14" s="273" t="s">
        <v>87</v>
      </c>
      <c r="D14" s="273" t="s">
        <v>88</v>
      </c>
      <c r="E14" s="273" t="s">
        <v>89</v>
      </c>
      <c r="F14" s="273" t="s">
        <v>235</v>
      </c>
      <c r="G14" s="273" t="s">
        <v>236</v>
      </c>
      <c r="H14" s="273" t="s">
        <v>237</v>
      </c>
      <c r="I14" s="273" t="s">
        <v>93</v>
      </c>
      <c r="J14" s="273" t="s">
        <v>238</v>
      </c>
      <c r="K14" s="273" t="s">
        <v>239</v>
      </c>
      <c r="L14" s="273" t="s">
        <v>240</v>
      </c>
      <c r="M14" s="273" t="s">
        <v>97</v>
      </c>
      <c r="N14" s="273" t="s">
        <v>98</v>
      </c>
      <c r="O14" s="273" t="s">
        <v>99</v>
      </c>
      <c r="P14" s="273" t="s">
        <v>100</v>
      </c>
      <c r="Q14" s="273" t="s">
        <v>101</v>
      </c>
      <c r="R14" s="273" t="s">
        <v>102</v>
      </c>
      <c r="S14" s="273" t="s">
        <v>103</v>
      </c>
      <c r="T14" s="273" t="s">
        <v>104</v>
      </c>
      <c r="U14" s="273" t="s">
        <v>105</v>
      </c>
      <c r="V14" s="273" t="s">
        <v>106</v>
      </c>
      <c r="W14" s="273" t="s">
        <v>107</v>
      </c>
      <c r="X14" s="273" t="s">
        <v>101</v>
      </c>
      <c r="Y14" s="273" t="s">
        <v>109</v>
      </c>
      <c r="Z14" s="273" t="s">
        <v>110</v>
      </c>
      <c r="AA14" s="273" t="s">
        <v>111</v>
      </c>
      <c r="AB14" s="652" t="s">
        <v>112</v>
      </c>
      <c r="AC14" s="274" t="s">
        <v>113</v>
      </c>
    </row>
    <row r="15" spans="1:30" s="27" customFormat="1" x14ac:dyDescent="0.2">
      <c r="A15" s="270" t="s">
        <v>114</v>
      </c>
      <c r="B15" s="273">
        <v>1</v>
      </c>
      <c r="C15" s="273">
        <v>2</v>
      </c>
      <c r="D15" s="273">
        <v>3</v>
      </c>
      <c r="E15" s="273">
        <v>4</v>
      </c>
      <c r="F15" s="273">
        <v>5</v>
      </c>
      <c r="G15" s="273">
        <v>6</v>
      </c>
      <c r="H15" s="273">
        <v>7</v>
      </c>
      <c r="I15" s="273">
        <v>8</v>
      </c>
      <c r="J15" s="273">
        <v>9</v>
      </c>
      <c r="K15" s="273">
        <v>10</v>
      </c>
      <c r="L15" s="273">
        <v>11</v>
      </c>
      <c r="M15" s="273">
        <v>12</v>
      </c>
      <c r="N15" s="273">
        <v>13</v>
      </c>
      <c r="O15" s="273">
        <v>14</v>
      </c>
      <c r="P15" s="273">
        <v>15</v>
      </c>
      <c r="Q15" s="273">
        <v>16</v>
      </c>
      <c r="R15" s="273">
        <v>17</v>
      </c>
      <c r="S15" s="273">
        <v>18</v>
      </c>
      <c r="T15" s="273">
        <v>19</v>
      </c>
      <c r="U15" s="273">
        <v>20</v>
      </c>
      <c r="V15" s="273">
        <v>21</v>
      </c>
      <c r="W15" s="273">
        <v>22</v>
      </c>
      <c r="X15" s="273">
        <v>23</v>
      </c>
      <c r="Y15" s="273">
        <v>24</v>
      </c>
      <c r="Z15" s="273">
        <v>25</v>
      </c>
      <c r="AA15" s="273">
        <v>26</v>
      </c>
      <c r="AB15" s="652">
        <v>27</v>
      </c>
      <c r="AC15" s="274">
        <v>28</v>
      </c>
    </row>
    <row r="16" spans="1:30" x14ac:dyDescent="0.2">
      <c r="A16" s="270" t="s">
        <v>115</v>
      </c>
      <c r="B16" s="766" t="s">
        <v>241</v>
      </c>
      <c r="C16" s="767"/>
      <c r="D16" s="767"/>
      <c r="E16" s="767"/>
      <c r="F16" s="767"/>
      <c r="G16" s="768"/>
      <c r="H16" s="766" t="s">
        <v>242</v>
      </c>
      <c r="I16" s="767"/>
      <c r="J16" s="768"/>
      <c r="K16" s="766"/>
      <c r="L16" s="767"/>
      <c r="M16" s="768"/>
      <c r="N16" s="275" t="s">
        <v>243</v>
      </c>
      <c r="O16" s="275" t="s">
        <v>244</v>
      </c>
      <c r="P16" s="275" t="s">
        <v>245</v>
      </c>
      <c r="Q16" s="276"/>
      <c r="R16" s="766" t="s">
        <v>83</v>
      </c>
      <c r="S16" s="767"/>
      <c r="T16" s="767"/>
      <c r="U16" s="767"/>
      <c r="V16" s="767"/>
      <c r="W16" s="768"/>
      <c r="X16" s="766" t="s">
        <v>120</v>
      </c>
      <c r="Y16" s="767"/>
      <c r="Z16" s="767"/>
      <c r="AA16" s="767"/>
      <c r="AB16" s="767"/>
      <c r="AC16" s="277" t="s">
        <v>121</v>
      </c>
    </row>
    <row r="17" spans="1:29" ht="12.75" x14ac:dyDescent="0.2">
      <c r="A17" s="155" t="s">
        <v>122</v>
      </c>
      <c r="B17" s="110"/>
      <c r="C17" s="31"/>
      <c r="D17" s="31"/>
      <c r="E17" s="31"/>
      <c r="F17" s="31"/>
      <c r="G17" s="31"/>
      <c r="H17" s="31"/>
      <c r="I17" s="31"/>
      <c r="J17" s="31"/>
      <c r="K17" s="31"/>
      <c r="L17" s="31"/>
      <c r="M17" s="31"/>
      <c r="N17" s="31"/>
      <c r="O17" s="31"/>
      <c r="P17" s="31"/>
      <c r="Q17" s="31"/>
      <c r="R17" s="31"/>
      <c r="S17" s="31"/>
      <c r="T17" s="32"/>
      <c r="U17" s="31"/>
      <c r="V17" s="31"/>
      <c r="W17" s="31"/>
      <c r="X17" s="31"/>
      <c r="Y17" s="31"/>
      <c r="Z17" s="31"/>
      <c r="AA17" s="31"/>
      <c r="AB17" s="31"/>
      <c r="AC17" s="658"/>
    </row>
    <row r="18" spans="1:29" x14ac:dyDescent="0.2">
      <c r="A18" s="278" t="s">
        <v>123</v>
      </c>
      <c r="B18" s="177">
        <f>IF(B101&lt;80,B102,MIN(B101,80))</f>
        <v>0</v>
      </c>
      <c r="C18" s="177">
        <f t="shared" ref="C18:AC18" si="0">IF(C101&lt;80,C102,MIN(C101,80))</f>
        <v>0</v>
      </c>
      <c r="D18" s="177">
        <f t="shared" si="0"/>
        <v>0</v>
      </c>
      <c r="E18" s="177">
        <f t="shared" si="0"/>
        <v>0</v>
      </c>
      <c r="F18" s="177">
        <f t="shared" si="0"/>
        <v>0</v>
      </c>
      <c r="G18" s="177">
        <f t="shared" si="0"/>
        <v>0</v>
      </c>
      <c r="H18" s="177">
        <f t="shared" si="0"/>
        <v>0</v>
      </c>
      <c r="I18" s="177">
        <f t="shared" si="0"/>
        <v>1.6165667710312981</v>
      </c>
      <c r="J18" s="177">
        <f t="shared" si="0"/>
        <v>23.616566771031298</v>
      </c>
      <c r="K18" s="177">
        <f t="shared" si="0"/>
        <v>41.616566771031302</v>
      </c>
      <c r="L18" s="177">
        <f t="shared" si="0"/>
        <v>51.616566771031302</v>
      </c>
      <c r="M18" s="177">
        <f t="shared" si="0"/>
        <v>51.616566771031302</v>
      </c>
      <c r="N18" s="177">
        <f t="shared" si="0"/>
        <v>80</v>
      </c>
      <c r="O18" s="177">
        <f t="shared" si="0"/>
        <v>80</v>
      </c>
      <c r="P18" s="177">
        <f t="shared" si="0"/>
        <v>80</v>
      </c>
      <c r="Q18" s="177">
        <f t="shared" si="0"/>
        <v>80</v>
      </c>
      <c r="R18" s="177">
        <f t="shared" si="0"/>
        <v>80</v>
      </c>
      <c r="S18" s="177">
        <f t="shared" si="0"/>
        <v>80</v>
      </c>
      <c r="T18" s="177">
        <f t="shared" si="0"/>
        <v>80</v>
      </c>
      <c r="U18" s="177">
        <f t="shared" si="0"/>
        <v>80</v>
      </c>
      <c r="V18" s="177">
        <f t="shared" si="0"/>
        <v>80</v>
      </c>
      <c r="W18" s="177">
        <f t="shared" si="0"/>
        <v>80</v>
      </c>
      <c r="X18" s="177">
        <f t="shared" si="0"/>
        <v>80</v>
      </c>
      <c r="Y18" s="177">
        <f t="shared" si="0"/>
        <v>80</v>
      </c>
      <c r="Z18" s="177">
        <f t="shared" si="0"/>
        <v>80</v>
      </c>
      <c r="AA18" s="177">
        <f t="shared" si="0"/>
        <v>80</v>
      </c>
      <c r="AB18" s="653">
        <f t="shared" si="0"/>
        <v>80</v>
      </c>
      <c r="AC18" s="177">
        <f t="shared" si="0"/>
        <v>11.616566771031298</v>
      </c>
    </row>
    <row r="19" spans="1:29" x14ac:dyDescent="0.2">
      <c r="A19" s="34" t="s">
        <v>124</v>
      </c>
      <c r="B19" s="71">
        <v>0.5</v>
      </c>
      <c r="C19" s="71">
        <v>0.5</v>
      </c>
      <c r="D19" s="71">
        <v>0.5</v>
      </c>
      <c r="E19" s="71">
        <v>0.5</v>
      </c>
      <c r="F19" s="71">
        <v>0.5</v>
      </c>
      <c r="G19" s="71">
        <v>0.5</v>
      </c>
      <c r="H19" s="71">
        <v>0.55000000000000004</v>
      </c>
      <c r="I19" s="71">
        <v>0.6</v>
      </c>
      <c r="J19" s="71">
        <v>0.65</v>
      </c>
      <c r="K19" s="71">
        <v>0.7</v>
      </c>
      <c r="L19" s="71">
        <v>0.7</v>
      </c>
      <c r="M19" s="71">
        <v>0.7</v>
      </c>
      <c r="N19" s="71">
        <v>0.7</v>
      </c>
      <c r="O19" s="71">
        <v>0.7</v>
      </c>
      <c r="P19" s="71">
        <v>0.7</v>
      </c>
      <c r="Q19" s="71">
        <v>0.4</v>
      </c>
      <c r="R19" s="71">
        <v>0.8</v>
      </c>
      <c r="S19" s="71">
        <v>0.8</v>
      </c>
      <c r="T19" s="71">
        <v>0.8</v>
      </c>
      <c r="U19" s="71">
        <v>0.8</v>
      </c>
      <c r="V19" s="71">
        <v>0.8</v>
      </c>
      <c r="W19" s="71">
        <v>0.7</v>
      </c>
      <c r="X19" s="71">
        <v>0.4</v>
      </c>
      <c r="Y19" s="71">
        <v>0.6</v>
      </c>
      <c r="Z19" s="71">
        <v>0.6</v>
      </c>
      <c r="AA19" s="71">
        <v>0.6</v>
      </c>
      <c r="AB19" s="645">
        <v>0.6</v>
      </c>
      <c r="AC19" s="35">
        <v>0.4</v>
      </c>
    </row>
    <row r="20" spans="1:29" x14ac:dyDescent="0.2">
      <c r="A20" s="279" t="s">
        <v>125</v>
      </c>
      <c r="B20" s="147"/>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35"/>
    </row>
    <row r="21" spans="1:29" s="38" customFormat="1" x14ac:dyDescent="0.2">
      <c r="A21" s="36" t="s">
        <v>126</v>
      </c>
      <c r="B21" s="209">
        <f t="shared" ref="B21:AC21" si="1">B19*$B$8</f>
        <v>31.275000000000002</v>
      </c>
      <c r="C21" s="209">
        <f t="shared" si="1"/>
        <v>31.275000000000002</v>
      </c>
      <c r="D21" s="209">
        <f t="shared" si="1"/>
        <v>31.275000000000002</v>
      </c>
      <c r="E21" s="209">
        <f t="shared" si="1"/>
        <v>31.275000000000002</v>
      </c>
      <c r="F21" s="209">
        <f t="shared" si="1"/>
        <v>31.275000000000002</v>
      </c>
      <c r="G21" s="209">
        <f t="shared" si="1"/>
        <v>31.275000000000002</v>
      </c>
      <c r="H21" s="209">
        <f t="shared" si="1"/>
        <v>34.402500000000003</v>
      </c>
      <c r="I21" s="209">
        <f t="shared" si="1"/>
        <v>37.53</v>
      </c>
      <c r="J21" s="209">
        <f t="shared" si="1"/>
        <v>40.657500000000006</v>
      </c>
      <c r="K21" s="209">
        <f t="shared" si="1"/>
        <v>43.785000000000004</v>
      </c>
      <c r="L21" s="209">
        <f t="shared" si="1"/>
        <v>43.785000000000004</v>
      </c>
      <c r="M21" s="209">
        <f t="shared" si="1"/>
        <v>43.785000000000004</v>
      </c>
      <c r="N21" s="209">
        <f t="shared" si="1"/>
        <v>43.785000000000004</v>
      </c>
      <c r="O21" s="209">
        <f t="shared" si="1"/>
        <v>43.785000000000004</v>
      </c>
      <c r="P21" s="209">
        <f t="shared" si="1"/>
        <v>43.785000000000004</v>
      </c>
      <c r="Q21" s="209">
        <f t="shared" si="1"/>
        <v>25.020000000000003</v>
      </c>
      <c r="R21" s="209">
        <f t="shared" si="1"/>
        <v>50.040000000000006</v>
      </c>
      <c r="S21" s="209">
        <f t="shared" si="1"/>
        <v>50.040000000000006</v>
      </c>
      <c r="T21" s="209">
        <f t="shared" si="1"/>
        <v>50.040000000000006</v>
      </c>
      <c r="U21" s="209">
        <f t="shared" si="1"/>
        <v>50.040000000000006</v>
      </c>
      <c r="V21" s="209">
        <f t="shared" si="1"/>
        <v>50.040000000000006</v>
      </c>
      <c r="W21" s="209">
        <f t="shared" si="1"/>
        <v>43.785000000000004</v>
      </c>
      <c r="X21" s="209">
        <f t="shared" si="1"/>
        <v>25.020000000000003</v>
      </c>
      <c r="Y21" s="209">
        <f t="shared" si="1"/>
        <v>37.53</v>
      </c>
      <c r="Z21" s="209">
        <f t="shared" si="1"/>
        <v>37.53</v>
      </c>
      <c r="AA21" s="209">
        <f t="shared" si="1"/>
        <v>37.53</v>
      </c>
      <c r="AB21" s="210">
        <f t="shared" si="1"/>
        <v>37.53</v>
      </c>
      <c r="AC21" s="137">
        <f t="shared" si="1"/>
        <v>25.020000000000003</v>
      </c>
    </row>
    <row r="22" spans="1:29" s="40" customFormat="1" x14ac:dyDescent="0.2">
      <c r="A22" s="36" t="s">
        <v>127</v>
      </c>
      <c r="B22" s="37">
        <f t="shared" ref="B22:AC22" si="2">B21*$B$5</f>
        <v>62.550000000000004</v>
      </c>
      <c r="C22" s="37">
        <f t="shared" si="2"/>
        <v>62.550000000000004</v>
      </c>
      <c r="D22" s="37">
        <f t="shared" si="2"/>
        <v>62.550000000000004</v>
      </c>
      <c r="E22" s="37">
        <f t="shared" si="2"/>
        <v>62.550000000000004</v>
      </c>
      <c r="F22" s="37">
        <f t="shared" si="2"/>
        <v>62.550000000000004</v>
      </c>
      <c r="G22" s="37">
        <f t="shared" si="2"/>
        <v>62.550000000000004</v>
      </c>
      <c r="H22" s="37">
        <f t="shared" si="2"/>
        <v>68.805000000000007</v>
      </c>
      <c r="I22" s="37">
        <f t="shared" si="2"/>
        <v>75.06</v>
      </c>
      <c r="J22" s="37">
        <f t="shared" si="2"/>
        <v>81.315000000000012</v>
      </c>
      <c r="K22" s="37">
        <f t="shared" si="2"/>
        <v>87.570000000000007</v>
      </c>
      <c r="L22" s="37">
        <f t="shared" si="2"/>
        <v>87.570000000000007</v>
      </c>
      <c r="M22" s="37">
        <f t="shared" si="2"/>
        <v>87.570000000000007</v>
      </c>
      <c r="N22" s="37">
        <f t="shared" si="2"/>
        <v>87.570000000000007</v>
      </c>
      <c r="O22" s="37">
        <f t="shared" si="2"/>
        <v>87.570000000000007</v>
      </c>
      <c r="P22" s="37">
        <f t="shared" si="2"/>
        <v>87.570000000000007</v>
      </c>
      <c r="Q22" s="37">
        <f t="shared" si="2"/>
        <v>50.040000000000006</v>
      </c>
      <c r="R22" s="37">
        <f t="shared" si="2"/>
        <v>100.08000000000001</v>
      </c>
      <c r="S22" s="37">
        <f t="shared" si="2"/>
        <v>100.08000000000001</v>
      </c>
      <c r="T22" s="37">
        <f t="shared" si="2"/>
        <v>100.08000000000001</v>
      </c>
      <c r="U22" s="37">
        <f t="shared" si="2"/>
        <v>100.08000000000001</v>
      </c>
      <c r="V22" s="37">
        <f t="shared" si="2"/>
        <v>100.08000000000001</v>
      </c>
      <c r="W22" s="37">
        <f t="shared" si="2"/>
        <v>87.570000000000007</v>
      </c>
      <c r="X22" s="37">
        <f t="shared" si="2"/>
        <v>50.040000000000006</v>
      </c>
      <c r="Y22" s="37">
        <f t="shared" si="2"/>
        <v>75.06</v>
      </c>
      <c r="Z22" s="37">
        <f t="shared" si="2"/>
        <v>75.06</v>
      </c>
      <c r="AA22" s="37">
        <f t="shared" si="2"/>
        <v>75.06</v>
      </c>
      <c r="AB22" s="138">
        <f t="shared" si="2"/>
        <v>75.06</v>
      </c>
      <c r="AC22" s="37">
        <f t="shared" si="2"/>
        <v>50.040000000000006</v>
      </c>
    </row>
    <row r="23" spans="1:29" s="40" customFormat="1" x14ac:dyDescent="0.2">
      <c r="A23" s="36" t="s">
        <v>128</v>
      </c>
      <c r="B23" s="139">
        <f>$B$9</f>
        <v>4.5</v>
      </c>
      <c r="C23" s="139">
        <f t="shared" ref="C23:AC23" si="3">$B$9</f>
        <v>4.5</v>
      </c>
      <c r="D23" s="139">
        <f t="shared" si="3"/>
        <v>4.5</v>
      </c>
      <c r="E23" s="139">
        <f t="shared" si="3"/>
        <v>4.5</v>
      </c>
      <c r="F23" s="139">
        <f t="shared" si="3"/>
        <v>4.5</v>
      </c>
      <c r="G23" s="139">
        <f t="shared" si="3"/>
        <v>4.5</v>
      </c>
      <c r="H23" s="139">
        <f t="shared" si="3"/>
        <v>4.5</v>
      </c>
      <c r="I23" s="139">
        <f t="shared" si="3"/>
        <v>4.5</v>
      </c>
      <c r="J23" s="139">
        <f t="shared" si="3"/>
        <v>4.5</v>
      </c>
      <c r="K23" s="139">
        <f t="shared" si="3"/>
        <v>4.5</v>
      </c>
      <c r="L23" s="139">
        <f t="shared" si="3"/>
        <v>4.5</v>
      </c>
      <c r="M23" s="139">
        <f t="shared" si="3"/>
        <v>4.5</v>
      </c>
      <c r="N23" s="139">
        <f t="shared" si="3"/>
        <v>4.5</v>
      </c>
      <c r="O23" s="139">
        <f t="shared" si="3"/>
        <v>4.5</v>
      </c>
      <c r="P23" s="139">
        <f t="shared" si="3"/>
        <v>4.5</v>
      </c>
      <c r="Q23" s="139">
        <f t="shared" si="3"/>
        <v>4.5</v>
      </c>
      <c r="R23" s="139">
        <f t="shared" si="3"/>
        <v>4.5</v>
      </c>
      <c r="S23" s="139">
        <f t="shared" si="3"/>
        <v>4.5</v>
      </c>
      <c r="T23" s="139">
        <f t="shared" si="3"/>
        <v>4.5</v>
      </c>
      <c r="U23" s="139">
        <f t="shared" si="3"/>
        <v>4.5</v>
      </c>
      <c r="V23" s="139">
        <f t="shared" si="3"/>
        <v>4.5</v>
      </c>
      <c r="W23" s="139">
        <f t="shared" si="3"/>
        <v>4.5</v>
      </c>
      <c r="X23" s="139">
        <f t="shared" si="3"/>
        <v>4.5</v>
      </c>
      <c r="Y23" s="139">
        <f t="shared" si="3"/>
        <v>4.5</v>
      </c>
      <c r="Z23" s="139">
        <f t="shared" si="3"/>
        <v>4.5</v>
      </c>
      <c r="AA23" s="139">
        <f t="shared" si="3"/>
        <v>4.5</v>
      </c>
      <c r="AB23" s="140">
        <f t="shared" si="3"/>
        <v>4.5</v>
      </c>
      <c r="AC23" s="139">
        <f t="shared" si="3"/>
        <v>4.5</v>
      </c>
    </row>
    <row r="24" spans="1:29" s="40" customFormat="1" x14ac:dyDescent="0.2">
      <c r="A24" s="36" t="s">
        <v>129</v>
      </c>
      <c r="B24" s="139">
        <f t="shared" ref="B24:AB24" si="4">IF(ISBLANK(B145),0,$B$10)</f>
        <v>0</v>
      </c>
      <c r="C24" s="139">
        <f t="shared" si="4"/>
        <v>0</v>
      </c>
      <c r="D24" s="139">
        <f t="shared" si="4"/>
        <v>0</v>
      </c>
      <c r="E24" s="139">
        <f t="shared" si="4"/>
        <v>0</v>
      </c>
      <c r="F24" s="139">
        <f t="shared" si="4"/>
        <v>0</v>
      </c>
      <c r="G24" s="139">
        <f t="shared" si="4"/>
        <v>0</v>
      </c>
      <c r="H24" s="139">
        <f t="shared" si="4"/>
        <v>0</v>
      </c>
      <c r="I24" s="139">
        <f t="shared" si="4"/>
        <v>0</v>
      </c>
      <c r="J24" s="139">
        <f t="shared" si="4"/>
        <v>0</v>
      </c>
      <c r="K24" s="139">
        <f t="shared" si="4"/>
        <v>0</v>
      </c>
      <c r="L24" s="139">
        <f t="shared" si="4"/>
        <v>0</v>
      </c>
      <c r="M24" s="139">
        <f t="shared" si="4"/>
        <v>0</v>
      </c>
      <c r="N24" s="139">
        <f t="shared" si="4"/>
        <v>84.24</v>
      </c>
      <c r="O24" s="139">
        <f t="shared" si="4"/>
        <v>84.24</v>
      </c>
      <c r="P24" s="139">
        <f t="shared" si="4"/>
        <v>84.24</v>
      </c>
      <c r="Q24" s="139">
        <f t="shared" si="4"/>
        <v>0</v>
      </c>
      <c r="R24" s="139">
        <f t="shared" si="4"/>
        <v>84.24</v>
      </c>
      <c r="S24" s="139">
        <f t="shared" si="4"/>
        <v>84.24</v>
      </c>
      <c r="T24" s="139">
        <f t="shared" si="4"/>
        <v>84.24</v>
      </c>
      <c r="U24" s="139">
        <f t="shared" si="4"/>
        <v>84.24</v>
      </c>
      <c r="V24" s="139">
        <f t="shared" si="4"/>
        <v>84.24</v>
      </c>
      <c r="W24" s="139">
        <f t="shared" si="4"/>
        <v>84.24</v>
      </c>
      <c r="X24" s="139">
        <f t="shared" si="4"/>
        <v>0</v>
      </c>
      <c r="Y24" s="139">
        <f t="shared" si="4"/>
        <v>0</v>
      </c>
      <c r="Z24" s="139">
        <f t="shared" si="4"/>
        <v>0</v>
      </c>
      <c r="AA24" s="139">
        <f t="shared" si="4"/>
        <v>0</v>
      </c>
      <c r="AB24" s="140">
        <f t="shared" si="4"/>
        <v>0</v>
      </c>
      <c r="AC24" s="139">
        <f>IF(ISBLANK(AC116),0,$B$10)</f>
        <v>0</v>
      </c>
    </row>
    <row r="25" spans="1:29" s="40" customFormat="1" x14ac:dyDescent="0.2">
      <c r="A25" s="36" t="s">
        <v>130</v>
      </c>
      <c r="B25" s="37">
        <f>B21*$B$5+SUM(B23:B24)</f>
        <v>67.050000000000011</v>
      </c>
      <c r="C25" s="37">
        <f t="shared" ref="C25:AB25" si="5">C21*$B$5+SUM(C23:C24)</f>
        <v>67.050000000000011</v>
      </c>
      <c r="D25" s="37">
        <f t="shared" si="5"/>
        <v>67.050000000000011</v>
      </c>
      <c r="E25" s="37">
        <f t="shared" si="5"/>
        <v>67.050000000000011</v>
      </c>
      <c r="F25" s="37">
        <f t="shared" si="5"/>
        <v>67.050000000000011</v>
      </c>
      <c r="G25" s="37">
        <f t="shared" si="5"/>
        <v>67.050000000000011</v>
      </c>
      <c r="H25" s="37">
        <f t="shared" si="5"/>
        <v>73.305000000000007</v>
      </c>
      <c r="I25" s="37">
        <f t="shared" si="5"/>
        <v>79.56</v>
      </c>
      <c r="J25" s="37">
        <f t="shared" si="5"/>
        <v>85.815000000000012</v>
      </c>
      <c r="K25" s="37">
        <f t="shared" si="5"/>
        <v>92.070000000000007</v>
      </c>
      <c r="L25" s="37">
        <f t="shared" si="5"/>
        <v>92.070000000000007</v>
      </c>
      <c r="M25" s="37">
        <f t="shared" si="5"/>
        <v>92.070000000000007</v>
      </c>
      <c r="N25" s="37">
        <f t="shared" si="5"/>
        <v>176.31</v>
      </c>
      <c r="O25" s="37">
        <f t="shared" si="5"/>
        <v>176.31</v>
      </c>
      <c r="P25" s="37">
        <f t="shared" si="5"/>
        <v>176.31</v>
      </c>
      <c r="Q25" s="37">
        <f t="shared" si="5"/>
        <v>54.540000000000006</v>
      </c>
      <c r="R25" s="37">
        <f t="shared" si="5"/>
        <v>188.82</v>
      </c>
      <c r="S25" s="37">
        <f t="shared" si="5"/>
        <v>188.82</v>
      </c>
      <c r="T25" s="37">
        <f t="shared" si="5"/>
        <v>188.82</v>
      </c>
      <c r="U25" s="37">
        <f t="shared" si="5"/>
        <v>188.82</v>
      </c>
      <c r="V25" s="37">
        <f t="shared" si="5"/>
        <v>188.82</v>
      </c>
      <c r="W25" s="37">
        <f t="shared" si="5"/>
        <v>176.31</v>
      </c>
      <c r="X25" s="37">
        <f t="shared" si="5"/>
        <v>54.540000000000006</v>
      </c>
      <c r="Y25" s="37">
        <f t="shared" si="5"/>
        <v>79.56</v>
      </c>
      <c r="Z25" s="37">
        <f t="shared" si="5"/>
        <v>79.56</v>
      </c>
      <c r="AA25" s="37">
        <f t="shared" si="5"/>
        <v>79.56</v>
      </c>
      <c r="AB25" s="138">
        <f t="shared" si="5"/>
        <v>79.56</v>
      </c>
      <c r="AC25" s="37">
        <f t="shared" ref="AC25" si="6">AC21*$B$5+SUM(AC23:AC24)</f>
        <v>54.540000000000006</v>
      </c>
    </row>
    <row r="26" spans="1:29" s="40" customFormat="1" x14ac:dyDescent="0.2">
      <c r="A26" s="84" t="s">
        <v>131</v>
      </c>
      <c r="B26" s="39">
        <f t="shared" ref="B26:AB26" si="7">-IF(ISBLANK(B144),0,MIN(B$22*$H$10,B$22-$B$7*$H$9))</f>
        <v>-12.509999999999998</v>
      </c>
      <c r="C26" s="39">
        <f t="shared" si="7"/>
        <v>-12.509999999999998</v>
      </c>
      <c r="D26" s="39">
        <f t="shared" si="7"/>
        <v>-12.509999999999998</v>
      </c>
      <c r="E26" s="39">
        <f t="shared" si="7"/>
        <v>-12.509999999999998</v>
      </c>
      <c r="F26" s="39">
        <f t="shared" si="7"/>
        <v>-12.509999999999998</v>
      </c>
      <c r="G26" s="39">
        <f t="shared" si="7"/>
        <v>-12.509999999999998</v>
      </c>
      <c r="H26" s="39">
        <f t="shared" si="7"/>
        <v>-18.765000000000001</v>
      </c>
      <c r="I26" s="39">
        <f t="shared" si="7"/>
        <v>-25.019999999999996</v>
      </c>
      <c r="J26" s="39">
        <f t="shared" si="7"/>
        <v>-31.275000000000006</v>
      </c>
      <c r="K26" s="39">
        <f t="shared" si="7"/>
        <v>-34.239870000000003</v>
      </c>
      <c r="L26" s="39">
        <f t="shared" si="7"/>
        <v>-34.239870000000003</v>
      </c>
      <c r="M26" s="39">
        <f t="shared" si="7"/>
        <v>-34.239870000000003</v>
      </c>
      <c r="N26" s="39">
        <f t="shared" si="7"/>
        <v>0</v>
      </c>
      <c r="O26" s="39">
        <f t="shared" si="7"/>
        <v>0</v>
      </c>
      <c r="P26" s="39">
        <f t="shared" si="7"/>
        <v>0</v>
      </c>
      <c r="Q26" s="39">
        <f t="shared" si="7"/>
        <v>0</v>
      </c>
      <c r="R26" s="39">
        <f t="shared" si="7"/>
        <v>0</v>
      </c>
      <c r="S26" s="39">
        <f t="shared" si="7"/>
        <v>0</v>
      </c>
      <c r="T26" s="39">
        <f t="shared" si="7"/>
        <v>0</v>
      </c>
      <c r="U26" s="39">
        <f t="shared" si="7"/>
        <v>0</v>
      </c>
      <c r="V26" s="39">
        <f t="shared" si="7"/>
        <v>0</v>
      </c>
      <c r="W26" s="39">
        <f t="shared" si="7"/>
        <v>0</v>
      </c>
      <c r="X26" s="39">
        <f t="shared" si="7"/>
        <v>0</v>
      </c>
      <c r="Y26" s="39">
        <f t="shared" si="7"/>
        <v>-25.019999999999996</v>
      </c>
      <c r="Z26" s="39">
        <f t="shared" si="7"/>
        <v>-25.019999999999996</v>
      </c>
      <c r="AA26" s="39">
        <f t="shared" si="7"/>
        <v>-25.019999999999996</v>
      </c>
      <c r="AB26" s="141">
        <f t="shared" si="7"/>
        <v>-25.019999999999996</v>
      </c>
      <c r="AC26" s="39">
        <f>-IF(ISBLANK(AC115),0,MIN(AC$22*$H$10,AC$22-$B$7*$H$9))</f>
        <v>0</v>
      </c>
    </row>
    <row r="27" spans="1:29" s="40" customFormat="1" x14ac:dyDescent="0.2">
      <c r="A27" s="36" t="s">
        <v>132</v>
      </c>
      <c r="B27" s="39">
        <f t="shared" ref="B27:AB27" si="8">SUM(B25:B26)</f>
        <v>54.540000000000013</v>
      </c>
      <c r="C27" s="39">
        <f t="shared" si="8"/>
        <v>54.540000000000013</v>
      </c>
      <c r="D27" s="39">
        <f t="shared" si="8"/>
        <v>54.540000000000013</v>
      </c>
      <c r="E27" s="39">
        <f t="shared" si="8"/>
        <v>54.540000000000013</v>
      </c>
      <c r="F27" s="39">
        <f t="shared" si="8"/>
        <v>54.540000000000013</v>
      </c>
      <c r="G27" s="39">
        <f t="shared" si="8"/>
        <v>54.540000000000013</v>
      </c>
      <c r="H27" s="39">
        <f t="shared" si="8"/>
        <v>54.540000000000006</v>
      </c>
      <c r="I27" s="39">
        <f t="shared" si="8"/>
        <v>54.540000000000006</v>
      </c>
      <c r="J27" s="39">
        <f t="shared" si="8"/>
        <v>54.540000000000006</v>
      </c>
      <c r="K27" s="39">
        <f t="shared" si="8"/>
        <v>57.830130000000004</v>
      </c>
      <c r="L27" s="39">
        <f t="shared" si="8"/>
        <v>57.830130000000004</v>
      </c>
      <c r="M27" s="39">
        <f t="shared" si="8"/>
        <v>57.830130000000004</v>
      </c>
      <c r="N27" s="39">
        <f t="shared" si="8"/>
        <v>176.31</v>
      </c>
      <c r="O27" s="39">
        <f t="shared" si="8"/>
        <v>176.31</v>
      </c>
      <c r="P27" s="39">
        <f t="shared" si="8"/>
        <v>176.31</v>
      </c>
      <c r="Q27" s="39">
        <f t="shared" si="8"/>
        <v>54.540000000000006</v>
      </c>
      <c r="R27" s="39">
        <f t="shared" si="8"/>
        <v>188.82</v>
      </c>
      <c r="S27" s="39">
        <f t="shared" si="8"/>
        <v>188.82</v>
      </c>
      <c r="T27" s="39">
        <f t="shared" si="8"/>
        <v>188.82</v>
      </c>
      <c r="U27" s="39">
        <f t="shared" si="8"/>
        <v>188.82</v>
      </c>
      <c r="V27" s="39">
        <f t="shared" si="8"/>
        <v>188.82</v>
      </c>
      <c r="W27" s="39">
        <f t="shared" si="8"/>
        <v>176.31</v>
      </c>
      <c r="X27" s="39">
        <f t="shared" si="8"/>
        <v>54.540000000000006</v>
      </c>
      <c r="Y27" s="39">
        <f t="shared" si="8"/>
        <v>54.540000000000006</v>
      </c>
      <c r="Z27" s="39">
        <f t="shared" si="8"/>
        <v>54.540000000000006</v>
      </c>
      <c r="AA27" s="39">
        <f t="shared" si="8"/>
        <v>54.540000000000006</v>
      </c>
      <c r="AB27" s="141">
        <f t="shared" si="8"/>
        <v>54.540000000000006</v>
      </c>
      <c r="AC27" s="39">
        <f t="shared" ref="AC27" si="9">SUM(AC25:AC26)</f>
        <v>54.540000000000006</v>
      </c>
    </row>
    <row r="28" spans="1:29" s="40" customFormat="1" x14ac:dyDescent="0.2">
      <c r="A28" s="84" t="s">
        <v>133</v>
      </c>
      <c r="B28" s="41">
        <f>AVERAGE(AA22:AB22,B22)</f>
        <v>70.89</v>
      </c>
      <c r="C28" s="41">
        <f>AVERAGE(AB22,B22:C22)</f>
        <v>66.720000000000013</v>
      </c>
      <c r="D28" s="41">
        <f t="shared" ref="D28:AB28" si="10">AVERAGE(B22:D22)</f>
        <v>62.550000000000004</v>
      </c>
      <c r="E28" s="41">
        <f t="shared" si="10"/>
        <v>62.550000000000004</v>
      </c>
      <c r="F28" s="41">
        <f t="shared" si="10"/>
        <v>62.550000000000004</v>
      </c>
      <c r="G28" s="41">
        <f t="shared" si="10"/>
        <v>62.550000000000004</v>
      </c>
      <c r="H28" s="41">
        <f t="shared" si="10"/>
        <v>64.635000000000005</v>
      </c>
      <c r="I28" s="41">
        <f t="shared" si="10"/>
        <v>68.805000000000007</v>
      </c>
      <c r="J28" s="41">
        <f t="shared" si="10"/>
        <v>75.06</v>
      </c>
      <c r="K28" s="41">
        <f t="shared" si="10"/>
        <v>81.314999999999998</v>
      </c>
      <c r="L28" s="41">
        <f t="shared" si="10"/>
        <v>85.485000000000014</v>
      </c>
      <c r="M28" s="41">
        <f t="shared" si="10"/>
        <v>87.570000000000007</v>
      </c>
      <c r="N28" s="41">
        <f t="shared" si="10"/>
        <v>87.570000000000007</v>
      </c>
      <c r="O28" s="41">
        <f t="shared" si="10"/>
        <v>87.570000000000007</v>
      </c>
      <c r="P28" s="41">
        <f t="shared" si="10"/>
        <v>87.570000000000007</v>
      </c>
      <c r="Q28" s="41">
        <f t="shared" si="10"/>
        <v>75.06</v>
      </c>
      <c r="R28" s="41">
        <f t="shared" si="10"/>
        <v>79.23</v>
      </c>
      <c r="S28" s="41">
        <f t="shared" si="10"/>
        <v>83.4</v>
      </c>
      <c r="T28" s="41">
        <f t="shared" si="10"/>
        <v>100.08</v>
      </c>
      <c r="U28" s="41">
        <f t="shared" si="10"/>
        <v>100.08</v>
      </c>
      <c r="V28" s="41">
        <f t="shared" si="10"/>
        <v>100.08</v>
      </c>
      <c r="W28" s="41">
        <f t="shared" si="10"/>
        <v>95.910000000000011</v>
      </c>
      <c r="X28" s="41">
        <f t="shared" si="10"/>
        <v>79.230000000000018</v>
      </c>
      <c r="Y28" s="41">
        <f t="shared" si="10"/>
        <v>70.89</v>
      </c>
      <c r="Z28" s="41">
        <f t="shared" si="10"/>
        <v>66.720000000000013</v>
      </c>
      <c r="AA28" s="41">
        <f t="shared" si="10"/>
        <v>75.06</v>
      </c>
      <c r="AB28" s="639">
        <f t="shared" si="10"/>
        <v>75.06</v>
      </c>
      <c r="AC28" s="41">
        <f>AC27</f>
        <v>54.540000000000006</v>
      </c>
    </row>
    <row r="29" spans="1:29" s="40" customFormat="1" x14ac:dyDescent="0.2">
      <c r="A29" s="280" t="s">
        <v>134</v>
      </c>
      <c r="B29" s="138"/>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37"/>
    </row>
    <row r="30" spans="1:29" s="40" customFormat="1" x14ac:dyDescent="0.2">
      <c r="A30" s="84" t="s">
        <v>135</v>
      </c>
      <c r="B30" s="39">
        <f t="shared" ref="B30:AC30" si="11">IF(ISBLANK(B144),0,$B$11)</f>
        <v>4.5</v>
      </c>
      <c r="C30" s="39">
        <f t="shared" si="11"/>
        <v>4.5</v>
      </c>
      <c r="D30" s="39">
        <f t="shared" si="11"/>
        <v>4.5</v>
      </c>
      <c r="E30" s="39">
        <f t="shared" si="11"/>
        <v>4.5</v>
      </c>
      <c r="F30" s="39">
        <f t="shared" si="11"/>
        <v>4.5</v>
      </c>
      <c r="G30" s="39">
        <f t="shared" si="11"/>
        <v>4.5</v>
      </c>
      <c r="H30" s="39">
        <f t="shared" si="11"/>
        <v>4.5</v>
      </c>
      <c r="I30" s="39">
        <f t="shared" si="11"/>
        <v>4.5</v>
      </c>
      <c r="J30" s="39">
        <f t="shared" si="11"/>
        <v>4.5</v>
      </c>
      <c r="K30" s="39">
        <f t="shared" si="11"/>
        <v>4.5</v>
      </c>
      <c r="L30" s="39">
        <f t="shared" si="11"/>
        <v>4.5</v>
      </c>
      <c r="M30" s="39">
        <f t="shared" si="11"/>
        <v>4.5</v>
      </c>
      <c r="N30" s="39">
        <f t="shared" si="11"/>
        <v>0</v>
      </c>
      <c r="O30" s="39">
        <f t="shared" si="11"/>
        <v>0</v>
      </c>
      <c r="P30" s="39">
        <f t="shared" si="11"/>
        <v>0</v>
      </c>
      <c r="Q30" s="39">
        <f t="shared" si="11"/>
        <v>4.5</v>
      </c>
      <c r="R30" s="39">
        <f t="shared" si="11"/>
        <v>0</v>
      </c>
      <c r="S30" s="39">
        <f t="shared" si="11"/>
        <v>0</v>
      </c>
      <c r="T30" s="39">
        <f t="shared" si="11"/>
        <v>0</v>
      </c>
      <c r="U30" s="39">
        <f t="shared" si="11"/>
        <v>0</v>
      </c>
      <c r="V30" s="39">
        <f t="shared" si="11"/>
        <v>0</v>
      </c>
      <c r="W30" s="39">
        <f t="shared" si="11"/>
        <v>0</v>
      </c>
      <c r="X30" s="39">
        <f t="shared" si="11"/>
        <v>4.5</v>
      </c>
      <c r="Y30" s="39">
        <f t="shared" si="11"/>
        <v>4.5</v>
      </c>
      <c r="Z30" s="39">
        <f t="shared" si="11"/>
        <v>4.5</v>
      </c>
      <c r="AA30" s="39">
        <f t="shared" si="11"/>
        <v>4.5</v>
      </c>
      <c r="AB30" s="141">
        <f t="shared" si="11"/>
        <v>4.5</v>
      </c>
      <c r="AC30" s="39">
        <f t="shared" si="11"/>
        <v>4.5</v>
      </c>
    </row>
    <row r="31" spans="1:29" s="40" customFormat="1" ht="12.75" x14ac:dyDescent="0.2">
      <c r="A31" s="155" t="s">
        <v>136</v>
      </c>
      <c r="B31" s="110"/>
      <c r="C31" s="31"/>
      <c r="D31" s="31"/>
      <c r="E31" s="31"/>
      <c r="F31" s="31"/>
      <c r="G31" s="31"/>
      <c r="H31" s="31"/>
      <c r="I31" s="31"/>
      <c r="J31" s="31"/>
      <c r="K31" s="31"/>
      <c r="L31" s="31"/>
      <c r="M31" s="31"/>
      <c r="N31" s="31"/>
      <c r="O31" s="31"/>
      <c r="P31" s="31"/>
      <c r="Q31" s="31"/>
      <c r="R31" s="31"/>
      <c r="S31" s="31"/>
      <c r="T31" s="32"/>
      <c r="U31" s="31"/>
      <c r="V31" s="31"/>
      <c r="W31" s="31"/>
      <c r="X31" s="31"/>
      <c r="Y31" s="31"/>
      <c r="Z31" s="31"/>
      <c r="AA31" s="31"/>
      <c r="AB31" s="31"/>
      <c r="AC31" s="658"/>
    </row>
    <row r="32" spans="1:29" s="40" customFormat="1" x14ac:dyDescent="0.2">
      <c r="A32" s="333" t="s">
        <v>137</v>
      </c>
      <c r="B32" s="98">
        <v>0.7</v>
      </c>
      <c r="C32" s="98">
        <v>0.7</v>
      </c>
      <c r="D32" s="98">
        <v>0.7</v>
      </c>
      <c r="E32" s="98">
        <v>0.7</v>
      </c>
      <c r="F32" s="98">
        <v>0.7</v>
      </c>
      <c r="G32" s="98">
        <v>0.7</v>
      </c>
      <c r="H32" s="98">
        <v>0.8</v>
      </c>
      <c r="I32" s="98">
        <v>0.8</v>
      </c>
      <c r="J32" s="98">
        <v>0.8</v>
      </c>
      <c r="K32" s="98">
        <v>0.9</v>
      </c>
      <c r="L32" s="98">
        <v>0.9</v>
      </c>
      <c r="M32" s="98">
        <v>0.9</v>
      </c>
      <c r="N32" s="98">
        <v>1</v>
      </c>
      <c r="O32" s="98">
        <v>1</v>
      </c>
      <c r="P32" s="98">
        <v>1</v>
      </c>
      <c r="Q32" s="35">
        <v>1</v>
      </c>
      <c r="R32" s="35">
        <v>1</v>
      </c>
      <c r="S32" s="35">
        <v>1</v>
      </c>
      <c r="T32" s="35">
        <v>1</v>
      </c>
      <c r="U32" s="35">
        <v>1</v>
      </c>
      <c r="V32" s="35">
        <v>1</v>
      </c>
      <c r="W32" s="35">
        <v>1</v>
      </c>
      <c r="X32" s="35">
        <v>1</v>
      </c>
      <c r="Y32" s="98">
        <v>1</v>
      </c>
      <c r="Z32" s="98">
        <v>1</v>
      </c>
      <c r="AA32" s="98">
        <v>1</v>
      </c>
      <c r="AB32" s="654">
        <v>1</v>
      </c>
      <c r="AC32" s="35">
        <v>0.7</v>
      </c>
    </row>
    <row r="33" spans="1:33" s="40" customFormat="1" x14ac:dyDescent="0.2">
      <c r="A33" s="333" t="s">
        <v>138</v>
      </c>
      <c r="B33" s="43">
        <f>B32*0.8</f>
        <v>0.55999999999999994</v>
      </c>
      <c r="C33" s="43">
        <f t="shared" ref="C33:AC33" si="12">C32*0.8</f>
        <v>0.55999999999999994</v>
      </c>
      <c r="D33" s="43">
        <f t="shared" si="12"/>
        <v>0.55999999999999994</v>
      </c>
      <c r="E33" s="43">
        <f t="shared" si="12"/>
        <v>0.55999999999999994</v>
      </c>
      <c r="F33" s="43">
        <f t="shared" si="12"/>
        <v>0.55999999999999994</v>
      </c>
      <c r="G33" s="43">
        <f t="shared" si="12"/>
        <v>0.55999999999999994</v>
      </c>
      <c r="H33" s="43">
        <f t="shared" si="12"/>
        <v>0.64000000000000012</v>
      </c>
      <c r="I33" s="43">
        <f t="shared" si="12"/>
        <v>0.64000000000000012</v>
      </c>
      <c r="J33" s="43">
        <f t="shared" si="12"/>
        <v>0.64000000000000012</v>
      </c>
      <c r="K33" s="43">
        <f t="shared" si="12"/>
        <v>0.72000000000000008</v>
      </c>
      <c r="L33" s="43">
        <f t="shared" si="12"/>
        <v>0.72000000000000008</v>
      </c>
      <c r="M33" s="43">
        <f t="shared" si="12"/>
        <v>0.72000000000000008</v>
      </c>
      <c r="N33" s="43">
        <f t="shared" si="12"/>
        <v>0.8</v>
      </c>
      <c r="O33" s="43">
        <f t="shared" si="12"/>
        <v>0.8</v>
      </c>
      <c r="P33" s="43">
        <f t="shared" si="12"/>
        <v>0.8</v>
      </c>
      <c r="Q33" s="43">
        <f t="shared" si="12"/>
        <v>0.8</v>
      </c>
      <c r="R33" s="43">
        <f t="shared" si="12"/>
        <v>0.8</v>
      </c>
      <c r="S33" s="43">
        <f t="shared" si="12"/>
        <v>0.8</v>
      </c>
      <c r="T33" s="43">
        <f t="shared" si="12"/>
        <v>0.8</v>
      </c>
      <c r="U33" s="43">
        <f t="shared" si="12"/>
        <v>0.8</v>
      </c>
      <c r="V33" s="43">
        <f t="shared" si="12"/>
        <v>0.8</v>
      </c>
      <c r="W33" s="43">
        <f t="shared" si="12"/>
        <v>0.8</v>
      </c>
      <c r="X33" s="43">
        <f t="shared" si="12"/>
        <v>0.8</v>
      </c>
      <c r="Y33" s="43">
        <f t="shared" si="12"/>
        <v>0.8</v>
      </c>
      <c r="Z33" s="43">
        <f t="shared" si="12"/>
        <v>0.8</v>
      </c>
      <c r="AA33" s="43">
        <f t="shared" si="12"/>
        <v>0.8</v>
      </c>
      <c r="AB33" s="640">
        <f t="shared" si="12"/>
        <v>0.8</v>
      </c>
      <c r="AC33" s="43">
        <f t="shared" si="12"/>
        <v>0.55999999999999994</v>
      </c>
    </row>
    <row r="34" spans="1:33" s="40" customFormat="1" x14ac:dyDescent="0.2">
      <c r="A34" s="333" t="s">
        <v>139</v>
      </c>
      <c r="B34" s="43">
        <f>((B36*$B$176)/$B$2)</f>
        <v>0.43913931798684319</v>
      </c>
      <c r="C34" s="43">
        <f t="shared" ref="C34:AC34" si="13">((C36*$B$176)/$B$2)</f>
        <v>0.43913931798684319</v>
      </c>
      <c r="D34" s="43">
        <f t="shared" si="13"/>
        <v>0.43913931798684319</v>
      </c>
      <c r="E34" s="43">
        <f t="shared" si="13"/>
        <v>0.43913931798684319</v>
      </c>
      <c r="F34" s="43">
        <f t="shared" si="13"/>
        <v>0.43913931798684319</v>
      </c>
      <c r="G34" s="43">
        <f t="shared" si="13"/>
        <v>0.43913931798684319</v>
      </c>
      <c r="H34" s="43">
        <f t="shared" si="13"/>
        <v>0.50187350627067795</v>
      </c>
      <c r="I34" s="43">
        <f t="shared" si="13"/>
        <v>0.50187350627067795</v>
      </c>
      <c r="J34" s="43">
        <f t="shared" si="13"/>
        <v>0.50187350627067795</v>
      </c>
      <c r="K34" s="43">
        <f t="shared" si="13"/>
        <v>0.56460769455451276</v>
      </c>
      <c r="L34" s="43">
        <f t="shared" si="13"/>
        <v>0.56460769455451276</v>
      </c>
      <c r="M34" s="43">
        <f t="shared" si="13"/>
        <v>0.56460769455451276</v>
      </c>
      <c r="N34" s="43">
        <f t="shared" si="13"/>
        <v>0.62734188283834735</v>
      </c>
      <c r="O34" s="43">
        <f t="shared" si="13"/>
        <v>0.62734188283834735</v>
      </c>
      <c r="P34" s="43">
        <f t="shared" si="13"/>
        <v>0.62734188283834735</v>
      </c>
      <c r="Q34" s="43">
        <f t="shared" si="13"/>
        <v>0.62734188283834735</v>
      </c>
      <c r="R34" s="43">
        <f t="shared" si="13"/>
        <v>0.62734188283834735</v>
      </c>
      <c r="S34" s="43">
        <f t="shared" si="13"/>
        <v>0.62734188283834735</v>
      </c>
      <c r="T34" s="43">
        <f t="shared" si="13"/>
        <v>0.62734188283834735</v>
      </c>
      <c r="U34" s="43">
        <f t="shared" si="13"/>
        <v>0.62734188283834735</v>
      </c>
      <c r="V34" s="43">
        <f t="shared" si="13"/>
        <v>0.62734188283834735</v>
      </c>
      <c r="W34" s="43">
        <f t="shared" si="13"/>
        <v>0.62734188283834735</v>
      </c>
      <c r="X34" s="43">
        <f t="shared" si="13"/>
        <v>0.62734188283834735</v>
      </c>
      <c r="Y34" s="43">
        <f t="shared" si="13"/>
        <v>0.62734188283834735</v>
      </c>
      <c r="Z34" s="43">
        <f t="shared" si="13"/>
        <v>0.62734188283834735</v>
      </c>
      <c r="AA34" s="43">
        <f t="shared" si="13"/>
        <v>0.62734188283834735</v>
      </c>
      <c r="AB34" s="43">
        <f t="shared" si="13"/>
        <v>0.62734188283834735</v>
      </c>
      <c r="AC34" s="43">
        <f t="shared" si="13"/>
        <v>0.43913931798684319</v>
      </c>
    </row>
    <row r="35" spans="1:33" s="40" customFormat="1" x14ac:dyDescent="0.2">
      <c r="A35" s="205" t="s">
        <v>140</v>
      </c>
      <c r="B35" s="45">
        <f t="shared" ref="B35:AC35" si="14">ROUND($B$2*B$32,2)</f>
        <v>2.1</v>
      </c>
      <c r="C35" s="45">
        <f t="shared" si="14"/>
        <v>2.1</v>
      </c>
      <c r="D35" s="45">
        <f t="shared" si="14"/>
        <v>2.1</v>
      </c>
      <c r="E35" s="45">
        <f t="shared" si="14"/>
        <v>2.1</v>
      </c>
      <c r="F35" s="45">
        <f t="shared" si="14"/>
        <v>2.1</v>
      </c>
      <c r="G35" s="45">
        <f t="shared" si="14"/>
        <v>2.1</v>
      </c>
      <c r="H35" s="45">
        <f t="shared" si="14"/>
        <v>2.4</v>
      </c>
      <c r="I35" s="45">
        <f t="shared" si="14"/>
        <v>2.4</v>
      </c>
      <c r="J35" s="45">
        <f t="shared" si="14"/>
        <v>2.4</v>
      </c>
      <c r="K35" s="45">
        <f t="shared" si="14"/>
        <v>2.7</v>
      </c>
      <c r="L35" s="45">
        <f t="shared" si="14"/>
        <v>2.7</v>
      </c>
      <c r="M35" s="45">
        <f t="shared" si="14"/>
        <v>2.7</v>
      </c>
      <c r="N35" s="45">
        <f t="shared" si="14"/>
        <v>3</v>
      </c>
      <c r="O35" s="45">
        <f t="shared" si="14"/>
        <v>3</v>
      </c>
      <c r="P35" s="45">
        <f t="shared" si="14"/>
        <v>3</v>
      </c>
      <c r="Q35" s="45">
        <f t="shared" si="14"/>
        <v>3</v>
      </c>
      <c r="R35" s="45">
        <f t="shared" si="14"/>
        <v>3</v>
      </c>
      <c r="S35" s="45">
        <f t="shared" si="14"/>
        <v>3</v>
      </c>
      <c r="T35" s="45">
        <f t="shared" si="14"/>
        <v>3</v>
      </c>
      <c r="U35" s="45">
        <f t="shared" si="14"/>
        <v>3</v>
      </c>
      <c r="V35" s="45">
        <f t="shared" si="14"/>
        <v>3</v>
      </c>
      <c r="W35" s="45">
        <f t="shared" si="14"/>
        <v>3</v>
      </c>
      <c r="X35" s="45">
        <f t="shared" si="14"/>
        <v>3</v>
      </c>
      <c r="Y35" s="45">
        <f t="shared" si="14"/>
        <v>3</v>
      </c>
      <c r="Z35" s="45">
        <f t="shared" si="14"/>
        <v>3</v>
      </c>
      <c r="AA35" s="45">
        <f t="shared" si="14"/>
        <v>3</v>
      </c>
      <c r="AB35" s="166">
        <f t="shared" si="14"/>
        <v>3</v>
      </c>
      <c r="AC35" s="44">
        <f t="shared" si="14"/>
        <v>2.1</v>
      </c>
    </row>
    <row r="36" spans="1:33" x14ac:dyDescent="0.2">
      <c r="A36" s="205" t="s">
        <v>141</v>
      </c>
      <c r="B36" s="45">
        <f t="shared" ref="B36:AC36" si="15">ROUND($B$2*B$33,2)</f>
        <v>1.68</v>
      </c>
      <c r="C36" s="45">
        <f t="shared" si="15"/>
        <v>1.68</v>
      </c>
      <c r="D36" s="45">
        <f t="shared" si="15"/>
        <v>1.68</v>
      </c>
      <c r="E36" s="45">
        <f t="shared" si="15"/>
        <v>1.68</v>
      </c>
      <c r="F36" s="45">
        <f t="shared" si="15"/>
        <v>1.68</v>
      </c>
      <c r="G36" s="45">
        <f t="shared" si="15"/>
        <v>1.68</v>
      </c>
      <c r="H36" s="45">
        <f t="shared" si="15"/>
        <v>1.92</v>
      </c>
      <c r="I36" s="45">
        <f t="shared" si="15"/>
        <v>1.92</v>
      </c>
      <c r="J36" s="45">
        <f t="shared" si="15"/>
        <v>1.92</v>
      </c>
      <c r="K36" s="45">
        <f t="shared" si="15"/>
        <v>2.16</v>
      </c>
      <c r="L36" s="45">
        <f t="shared" si="15"/>
        <v>2.16</v>
      </c>
      <c r="M36" s="45">
        <f t="shared" si="15"/>
        <v>2.16</v>
      </c>
      <c r="N36" s="45">
        <f t="shared" si="15"/>
        <v>2.4</v>
      </c>
      <c r="O36" s="45">
        <f t="shared" si="15"/>
        <v>2.4</v>
      </c>
      <c r="P36" s="45">
        <f t="shared" si="15"/>
        <v>2.4</v>
      </c>
      <c r="Q36" s="45">
        <f t="shared" si="15"/>
        <v>2.4</v>
      </c>
      <c r="R36" s="45">
        <f t="shared" si="15"/>
        <v>2.4</v>
      </c>
      <c r="S36" s="45">
        <f t="shared" si="15"/>
        <v>2.4</v>
      </c>
      <c r="T36" s="45">
        <f t="shared" si="15"/>
        <v>2.4</v>
      </c>
      <c r="U36" s="45">
        <f t="shared" si="15"/>
        <v>2.4</v>
      </c>
      <c r="V36" s="45">
        <f t="shared" si="15"/>
        <v>2.4</v>
      </c>
      <c r="W36" s="45">
        <f t="shared" si="15"/>
        <v>2.4</v>
      </c>
      <c r="X36" s="45">
        <f t="shared" si="15"/>
        <v>2.4</v>
      </c>
      <c r="Y36" s="45">
        <f t="shared" si="15"/>
        <v>2.4</v>
      </c>
      <c r="Z36" s="45">
        <f t="shared" si="15"/>
        <v>2.4</v>
      </c>
      <c r="AA36" s="45">
        <f t="shared" si="15"/>
        <v>2.4</v>
      </c>
      <c r="AB36" s="166">
        <f t="shared" si="15"/>
        <v>2.4</v>
      </c>
      <c r="AC36" s="45">
        <f t="shared" si="15"/>
        <v>1.68</v>
      </c>
    </row>
    <row r="37" spans="1:33" x14ac:dyDescent="0.2">
      <c r="A37" s="620" t="s">
        <v>142</v>
      </c>
      <c r="B37" s="671">
        <f>B34*$B$2</f>
        <v>1.3174179539605295</v>
      </c>
      <c r="C37" s="671">
        <f t="shared" ref="C37:AC37" si="16">C34*$B$2</f>
        <v>1.3174179539605295</v>
      </c>
      <c r="D37" s="671">
        <f t="shared" si="16"/>
        <v>1.3174179539605295</v>
      </c>
      <c r="E37" s="671">
        <f t="shared" si="16"/>
        <v>1.3174179539605295</v>
      </c>
      <c r="F37" s="671">
        <f t="shared" si="16"/>
        <v>1.3174179539605295</v>
      </c>
      <c r="G37" s="671">
        <f t="shared" si="16"/>
        <v>1.3174179539605295</v>
      </c>
      <c r="H37" s="671">
        <f t="shared" si="16"/>
        <v>1.5056205188120337</v>
      </c>
      <c r="I37" s="671">
        <f t="shared" si="16"/>
        <v>1.5056205188120337</v>
      </c>
      <c r="J37" s="671">
        <f t="shared" si="16"/>
        <v>1.5056205188120337</v>
      </c>
      <c r="K37" s="671">
        <f t="shared" si="16"/>
        <v>1.6938230836635384</v>
      </c>
      <c r="L37" s="671">
        <f t="shared" si="16"/>
        <v>1.6938230836635384</v>
      </c>
      <c r="M37" s="671">
        <f t="shared" si="16"/>
        <v>1.6938230836635384</v>
      </c>
      <c r="N37" s="671">
        <f t="shared" si="16"/>
        <v>1.8820256485150422</v>
      </c>
      <c r="O37" s="671">
        <f t="shared" si="16"/>
        <v>1.8820256485150422</v>
      </c>
      <c r="P37" s="671">
        <f t="shared" si="16"/>
        <v>1.8820256485150422</v>
      </c>
      <c r="Q37" s="671">
        <f t="shared" si="16"/>
        <v>1.8820256485150422</v>
      </c>
      <c r="R37" s="671">
        <f t="shared" si="16"/>
        <v>1.8820256485150422</v>
      </c>
      <c r="S37" s="671">
        <f t="shared" si="16"/>
        <v>1.8820256485150422</v>
      </c>
      <c r="T37" s="671">
        <f t="shared" si="16"/>
        <v>1.8820256485150422</v>
      </c>
      <c r="U37" s="671">
        <f t="shared" si="16"/>
        <v>1.8820256485150422</v>
      </c>
      <c r="V37" s="671">
        <f t="shared" si="16"/>
        <v>1.8820256485150422</v>
      </c>
      <c r="W37" s="671">
        <f t="shared" si="16"/>
        <v>1.8820256485150422</v>
      </c>
      <c r="X37" s="671">
        <f t="shared" si="16"/>
        <v>1.8820256485150422</v>
      </c>
      <c r="Y37" s="671">
        <f t="shared" si="16"/>
        <v>1.8820256485150422</v>
      </c>
      <c r="Z37" s="671">
        <f t="shared" si="16"/>
        <v>1.8820256485150422</v>
      </c>
      <c r="AA37" s="671">
        <f t="shared" si="16"/>
        <v>1.8820256485150422</v>
      </c>
      <c r="AB37" s="671">
        <f t="shared" si="16"/>
        <v>1.8820256485150422</v>
      </c>
      <c r="AC37" s="671">
        <f t="shared" si="16"/>
        <v>1.3174179539605295</v>
      </c>
    </row>
    <row r="38" spans="1:33" ht="12.75" x14ac:dyDescent="0.2">
      <c r="A38" s="155" t="s">
        <v>143</v>
      </c>
      <c r="B38" s="86"/>
      <c r="C38" s="47"/>
      <c r="D38" s="47"/>
      <c r="E38" s="47"/>
      <c r="F38" s="47"/>
      <c r="G38" s="47"/>
      <c r="H38" s="47"/>
      <c r="I38" s="47"/>
      <c r="J38" s="48"/>
      <c r="K38" s="48"/>
      <c r="L38" s="47"/>
      <c r="M38" s="47"/>
      <c r="N38" s="49"/>
      <c r="O38" s="49"/>
      <c r="P38" s="50"/>
      <c r="Q38" s="47"/>
      <c r="R38" s="49"/>
      <c r="S38" s="49"/>
      <c r="T38" s="49"/>
      <c r="U38" s="49"/>
      <c r="V38" s="49"/>
      <c r="W38" s="49"/>
      <c r="X38" s="49"/>
      <c r="Y38" s="49"/>
      <c r="Z38" s="49"/>
      <c r="AA38" s="49"/>
      <c r="AB38" s="49"/>
      <c r="AC38" s="658"/>
      <c r="AD38" s="82"/>
      <c r="AE38" s="82"/>
      <c r="AF38" s="82"/>
      <c r="AG38" s="82"/>
    </row>
    <row r="39" spans="1:33" x14ac:dyDescent="0.2">
      <c r="A39" s="292" t="s">
        <v>144</v>
      </c>
      <c r="B39" s="633">
        <f>B$36*$B177</f>
        <v>0.99858585969920566</v>
      </c>
      <c r="C39" s="633">
        <f t="shared" ref="C39:AC48" si="17">C$36*$B177</f>
        <v>0.99858585969920566</v>
      </c>
      <c r="D39" s="633">
        <f t="shared" si="17"/>
        <v>0.99858585969920566</v>
      </c>
      <c r="E39" s="633">
        <f t="shared" si="17"/>
        <v>0.99858585969920566</v>
      </c>
      <c r="F39" s="633">
        <f t="shared" si="17"/>
        <v>0.99858585969920566</v>
      </c>
      <c r="G39" s="633">
        <f t="shared" si="17"/>
        <v>0.99858585969920566</v>
      </c>
      <c r="H39" s="633">
        <f t="shared" si="17"/>
        <v>1.141240982513378</v>
      </c>
      <c r="I39" s="633">
        <f t="shared" si="17"/>
        <v>1.141240982513378</v>
      </c>
      <c r="J39" s="633">
        <f t="shared" si="17"/>
        <v>1.141240982513378</v>
      </c>
      <c r="K39" s="633">
        <f t="shared" si="17"/>
        <v>1.2838961053275504</v>
      </c>
      <c r="L39" s="633">
        <f t="shared" si="17"/>
        <v>1.2838961053275504</v>
      </c>
      <c r="M39" s="633">
        <f t="shared" si="17"/>
        <v>1.2838961053275504</v>
      </c>
      <c r="N39" s="633">
        <f t="shared" si="17"/>
        <v>1.4265512281417225</v>
      </c>
      <c r="O39" s="633">
        <f t="shared" si="17"/>
        <v>1.4265512281417225</v>
      </c>
      <c r="P39" s="633">
        <f t="shared" si="17"/>
        <v>1.4265512281417225</v>
      </c>
      <c r="Q39" s="633">
        <f t="shared" si="17"/>
        <v>1.4265512281417225</v>
      </c>
      <c r="R39" s="633">
        <f t="shared" si="17"/>
        <v>1.4265512281417225</v>
      </c>
      <c r="S39" s="633">
        <f t="shared" si="17"/>
        <v>1.4265512281417225</v>
      </c>
      <c r="T39" s="633">
        <f t="shared" si="17"/>
        <v>1.4265512281417225</v>
      </c>
      <c r="U39" s="633">
        <f t="shared" si="17"/>
        <v>1.4265512281417225</v>
      </c>
      <c r="V39" s="633">
        <f t="shared" si="17"/>
        <v>1.4265512281417225</v>
      </c>
      <c r="W39" s="633">
        <f t="shared" si="17"/>
        <v>1.4265512281417225</v>
      </c>
      <c r="X39" s="633">
        <f t="shared" si="17"/>
        <v>1.4265512281417225</v>
      </c>
      <c r="Y39" s="633">
        <f t="shared" si="17"/>
        <v>1.4265512281417225</v>
      </c>
      <c r="Z39" s="633">
        <f t="shared" si="17"/>
        <v>1.4265512281417225</v>
      </c>
      <c r="AA39" s="633">
        <f t="shared" si="17"/>
        <v>1.4265512281417225</v>
      </c>
      <c r="AB39" s="633">
        <f t="shared" si="17"/>
        <v>1.4265512281417225</v>
      </c>
      <c r="AC39" s="633">
        <f t="shared" si="17"/>
        <v>0.99858585969920566</v>
      </c>
    </row>
    <row r="40" spans="1:33" x14ac:dyDescent="0.2">
      <c r="A40" s="292" t="s">
        <v>145</v>
      </c>
      <c r="B40" s="633">
        <f t="shared" ref="B40:Q48" si="18">B$36*$B178</f>
        <v>0</v>
      </c>
      <c r="C40" s="633">
        <f t="shared" si="18"/>
        <v>0</v>
      </c>
      <c r="D40" s="633">
        <f t="shared" si="18"/>
        <v>0</v>
      </c>
      <c r="E40" s="633">
        <f t="shared" si="18"/>
        <v>0</v>
      </c>
      <c r="F40" s="633">
        <f t="shared" si="18"/>
        <v>0</v>
      </c>
      <c r="G40" s="633">
        <f t="shared" si="18"/>
        <v>0</v>
      </c>
      <c r="H40" s="633">
        <f t="shared" si="18"/>
        <v>0</v>
      </c>
      <c r="I40" s="633">
        <f t="shared" si="18"/>
        <v>0</v>
      </c>
      <c r="J40" s="633">
        <f t="shared" si="18"/>
        <v>0</v>
      </c>
      <c r="K40" s="633">
        <f t="shared" si="18"/>
        <v>0</v>
      </c>
      <c r="L40" s="633">
        <f t="shared" si="18"/>
        <v>0</v>
      </c>
      <c r="M40" s="633">
        <f t="shared" si="18"/>
        <v>0</v>
      </c>
      <c r="N40" s="633">
        <f t="shared" si="18"/>
        <v>0</v>
      </c>
      <c r="O40" s="633">
        <f t="shared" si="18"/>
        <v>0</v>
      </c>
      <c r="P40" s="633">
        <f t="shared" si="18"/>
        <v>0</v>
      </c>
      <c r="Q40" s="633">
        <f t="shared" si="18"/>
        <v>0</v>
      </c>
      <c r="R40" s="633">
        <f t="shared" si="17"/>
        <v>0</v>
      </c>
      <c r="S40" s="633">
        <f t="shared" si="17"/>
        <v>0</v>
      </c>
      <c r="T40" s="633">
        <f t="shared" si="17"/>
        <v>0</v>
      </c>
      <c r="U40" s="633">
        <f t="shared" si="17"/>
        <v>0</v>
      </c>
      <c r="V40" s="633">
        <f t="shared" si="17"/>
        <v>0</v>
      </c>
      <c r="W40" s="633">
        <f t="shared" si="17"/>
        <v>0</v>
      </c>
      <c r="X40" s="633">
        <f t="shared" si="17"/>
        <v>0</v>
      </c>
      <c r="Y40" s="633">
        <f t="shared" si="17"/>
        <v>0</v>
      </c>
      <c r="Z40" s="633">
        <f t="shared" si="17"/>
        <v>0</v>
      </c>
      <c r="AA40" s="633">
        <f t="shared" si="17"/>
        <v>0</v>
      </c>
      <c r="AB40" s="633">
        <f t="shared" si="17"/>
        <v>0</v>
      </c>
      <c r="AC40" s="633">
        <f t="shared" si="17"/>
        <v>0</v>
      </c>
    </row>
    <row r="41" spans="1:33" x14ac:dyDescent="0.2">
      <c r="A41" s="292" t="s">
        <v>146</v>
      </c>
      <c r="B41" s="633">
        <f t="shared" si="18"/>
        <v>1.2736680021823836</v>
      </c>
      <c r="C41" s="633">
        <f t="shared" si="17"/>
        <v>1.2736680021823836</v>
      </c>
      <c r="D41" s="633">
        <f t="shared" si="17"/>
        <v>1.2736680021823836</v>
      </c>
      <c r="E41" s="633">
        <f t="shared" si="17"/>
        <v>1.2736680021823836</v>
      </c>
      <c r="F41" s="633">
        <f t="shared" si="17"/>
        <v>1.2736680021823836</v>
      </c>
      <c r="G41" s="633">
        <f t="shared" si="17"/>
        <v>1.2736680021823836</v>
      </c>
      <c r="H41" s="633">
        <f t="shared" si="17"/>
        <v>1.4556205739227239</v>
      </c>
      <c r="I41" s="633">
        <f t="shared" si="17"/>
        <v>1.4556205739227239</v>
      </c>
      <c r="J41" s="633">
        <f t="shared" si="17"/>
        <v>1.4556205739227239</v>
      </c>
      <c r="K41" s="633">
        <f t="shared" si="17"/>
        <v>1.6375731456630647</v>
      </c>
      <c r="L41" s="633">
        <f t="shared" si="17"/>
        <v>1.6375731456630647</v>
      </c>
      <c r="M41" s="633">
        <f t="shared" si="17"/>
        <v>1.6375731456630647</v>
      </c>
      <c r="N41" s="633">
        <f t="shared" si="17"/>
        <v>1.819525717403405</v>
      </c>
      <c r="O41" s="633">
        <f t="shared" si="17"/>
        <v>1.819525717403405</v>
      </c>
      <c r="P41" s="633">
        <f t="shared" si="17"/>
        <v>1.819525717403405</v>
      </c>
      <c r="Q41" s="633">
        <f t="shared" si="17"/>
        <v>1.819525717403405</v>
      </c>
      <c r="R41" s="633">
        <f t="shared" si="17"/>
        <v>1.819525717403405</v>
      </c>
      <c r="S41" s="633">
        <f t="shared" si="17"/>
        <v>1.819525717403405</v>
      </c>
      <c r="T41" s="633">
        <f t="shared" si="17"/>
        <v>1.819525717403405</v>
      </c>
      <c r="U41" s="633">
        <f t="shared" si="17"/>
        <v>1.819525717403405</v>
      </c>
      <c r="V41" s="633">
        <f t="shared" si="17"/>
        <v>1.819525717403405</v>
      </c>
      <c r="W41" s="633">
        <f t="shared" si="17"/>
        <v>1.819525717403405</v>
      </c>
      <c r="X41" s="633">
        <f t="shared" si="17"/>
        <v>1.819525717403405</v>
      </c>
      <c r="Y41" s="633">
        <f t="shared" si="17"/>
        <v>1.819525717403405</v>
      </c>
      <c r="Z41" s="633">
        <f t="shared" si="17"/>
        <v>1.819525717403405</v>
      </c>
      <c r="AA41" s="633">
        <f t="shared" si="17"/>
        <v>1.819525717403405</v>
      </c>
      <c r="AB41" s="633">
        <f t="shared" si="17"/>
        <v>1.819525717403405</v>
      </c>
      <c r="AC41" s="633">
        <f t="shared" si="17"/>
        <v>1.2736680021823836</v>
      </c>
    </row>
    <row r="42" spans="1:33" x14ac:dyDescent="0.2">
      <c r="A42" s="292" t="s">
        <v>147</v>
      </c>
      <c r="B42" s="633">
        <f t="shared" si="18"/>
        <v>1.2736680021823836</v>
      </c>
      <c r="C42" s="633">
        <f t="shared" si="17"/>
        <v>1.2736680021823836</v>
      </c>
      <c r="D42" s="633">
        <f t="shared" si="17"/>
        <v>1.2736680021823836</v>
      </c>
      <c r="E42" s="633">
        <f t="shared" si="17"/>
        <v>1.2736680021823836</v>
      </c>
      <c r="F42" s="633">
        <f t="shared" si="17"/>
        <v>1.2736680021823836</v>
      </c>
      <c r="G42" s="633">
        <f t="shared" si="17"/>
        <v>1.2736680021823836</v>
      </c>
      <c r="H42" s="633">
        <f t="shared" si="17"/>
        <v>1.4556205739227239</v>
      </c>
      <c r="I42" s="633">
        <f t="shared" si="17"/>
        <v>1.4556205739227239</v>
      </c>
      <c r="J42" s="633">
        <f t="shared" si="17"/>
        <v>1.4556205739227239</v>
      </c>
      <c r="K42" s="633">
        <f t="shared" si="17"/>
        <v>1.6375731456630647</v>
      </c>
      <c r="L42" s="633">
        <f t="shared" si="17"/>
        <v>1.6375731456630647</v>
      </c>
      <c r="M42" s="633">
        <f t="shared" si="17"/>
        <v>1.6375731456630647</v>
      </c>
      <c r="N42" s="633">
        <f t="shared" si="17"/>
        <v>1.819525717403405</v>
      </c>
      <c r="O42" s="633">
        <f t="shared" si="17"/>
        <v>1.819525717403405</v>
      </c>
      <c r="P42" s="633">
        <f t="shared" si="17"/>
        <v>1.819525717403405</v>
      </c>
      <c r="Q42" s="633">
        <f t="shared" si="17"/>
        <v>1.819525717403405</v>
      </c>
      <c r="R42" s="633">
        <f t="shared" si="17"/>
        <v>1.819525717403405</v>
      </c>
      <c r="S42" s="633">
        <f t="shared" si="17"/>
        <v>1.819525717403405</v>
      </c>
      <c r="T42" s="633">
        <f t="shared" si="17"/>
        <v>1.819525717403405</v>
      </c>
      <c r="U42" s="633">
        <f t="shared" si="17"/>
        <v>1.819525717403405</v>
      </c>
      <c r="V42" s="633">
        <f t="shared" si="17"/>
        <v>1.819525717403405</v>
      </c>
      <c r="W42" s="633">
        <f t="shared" si="17"/>
        <v>1.819525717403405</v>
      </c>
      <c r="X42" s="633">
        <f t="shared" si="17"/>
        <v>1.819525717403405</v>
      </c>
      <c r="Y42" s="633">
        <f t="shared" si="17"/>
        <v>1.819525717403405</v>
      </c>
      <c r="Z42" s="633">
        <f t="shared" si="17"/>
        <v>1.819525717403405</v>
      </c>
      <c r="AA42" s="633">
        <f t="shared" si="17"/>
        <v>1.819525717403405</v>
      </c>
      <c r="AB42" s="633">
        <f t="shared" si="17"/>
        <v>1.819525717403405</v>
      </c>
      <c r="AC42" s="633">
        <f t="shared" si="17"/>
        <v>1.2736680021823836</v>
      </c>
    </row>
    <row r="43" spans="1:33" x14ac:dyDescent="0.2">
      <c r="A43" s="292" t="s">
        <v>148</v>
      </c>
      <c r="B43" s="633">
        <f t="shared" si="18"/>
        <v>0.88890853278810489</v>
      </c>
      <c r="C43" s="633">
        <f t="shared" si="17"/>
        <v>0.88890853278810489</v>
      </c>
      <c r="D43" s="633">
        <f t="shared" si="17"/>
        <v>0.88890853278810489</v>
      </c>
      <c r="E43" s="633">
        <f t="shared" si="17"/>
        <v>0.88890853278810489</v>
      </c>
      <c r="F43" s="633">
        <f t="shared" si="17"/>
        <v>0.88890853278810489</v>
      </c>
      <c r="G43" s="633">
        <f t="shared" si="17"/>
        <v>0.88890853278810489</v>
      </c>
      <c r="H43" s="633">
        <f t="shared" si="17"/>
        <v>1.0158954660435484</v>
      </c>
      <c r="I43" s="633">
        <f t="shared" si="17"/>
        <v>1.0158954660435484</v>
      </c>
      <c r="J43" s="633">
        <f t="shared" si="17"/>
        <v>1.0158954660435484</v>
      </c>
      <c r="K43" s="633">
        <f t="shared" si="17"/>
        <v>1.142882399298992</v>
      </c>
      <c r="L43" s="633">
        <f t="shared" si="17"/>
        <v>1.142882399298992</v>
      </c>
      <c r="M43" s="633">
        <f t="shared" si="17"/>
        <v>1.142882399298992</v>
      </c>
      <c r="N43" s="633">
        <f t="shared" si="17"/>
        <v>1.2698693325544355</v>
      </c>
      <c r="O43" s="633">
        <f t="shared" si="17"/>
        <v>1.2698693325544355</v>
      </c>
      <c r="P43" s="633">
        <f t="shared" si="17"/>
        <v>1.2698693325544355</v>
      </c>
      <c r="Q43" s="633">
        <f t="shared" si="17"/>
        <v>1.2698693325544355</v>
      </c>
      <c r="R43" s="633">
        <f t="shared" si="17"/>
        <v>1.2698693325544355</v>
      </c>
      <c r="S43" s="633">
        <f t="shared" si="17"/>
        <v>1.2698693325544355</v>
      </c>
      <c r="T43" s="633">
        <f t="shared" si="17"/>
        <v>1.2698693325544355</v>
      </c>
      <c r="U43" s="633">
        <f t="shared" si="17"/>
        <v>1.2698693325544355</v>
      </c>
      <c r="V43" s="633">
        <f t="shared" si="17"/>
        <v>1.2698693325544355</v>
      </c>
      <c r="W43" s="633">
        <f t="shared" si="17"/>
        <v>1.2698693325544355</v>
      </c>
      <c r="X43" s="633">
        <f t="shared" si="17"/>
        <v>1.2698693325544355</v>
      </c>
      <c r="Y43" s="633">
        <f t="shared" si="17"/>
        <v>1.2698693325544355</v>
      </c>
      <c r="Z43" s="633">
        <f t="shared" si="17"/>
        <v>1.2698693325544355</v>
      </c>
      <c r="AA43" s="633">
        <f t="shared" si="17"/>
        <v>1.2698693325544355</v>
      </c>
      <c r="AB43" s="633">
        <f t="shared" si="17"/>
        <v>1.2698693325544355</v>
      </c>
      <c r="AC43" s="633">
        <f t="shared" si="17"/>
        <v>0.88890853278810489</v>
      </c>
    </row>
    <row r="44" spans="1:33" x14ac:dyDescent="0.2">
      <c r="A44" s="292" t="s">
        <v>149</v>
      </c>
      <c r="B44" s="633">
        <f t="shared" si="18"/>
        <v>0.88890853278810489</v>
      </c>
      <c r="C44" s="633">
        <f t="shared" si="17"/>
        <v>0.88890853278810489</v>
      </c>
      <c r="D44" s="633">
        <f t="shared" si="17"/>
        <v>0.88890853278810489</v>
      </c>
      <c r="E44" s="633">
        <f t="shared" si="17"/>
        <v>0.88890853278810489</v>
      </c>
      <c r="F44" s="633">
        <f t="shared" si="17"/>
        <v>0.88890853278810489</v>
      </c>
      <c r="G44" s="633">
        <f t="shared" si="17"/>
        <v>0.88890853278810489</v>
      </c>
      <c r="H44" s="633">
        <f t="shared" si="17"/>
        <v>1.0158954660435484</v>
      </c>
      <c r="I44" s="633">
        <f t="shared" si="17"/>
        <v>1.0158954660435484</v>
      </c>
      <c r="J44" s="633">
        <f t="shared" si="17"/>
        <v>1.0158954660435484</v>
      </c>
      <c r="K44" s="633">
        <f t="shared" si="17"/>
        <v>1.142882399298992</v>
      </c>
      <c r="L44" s="633">
        <f t="shared" si="17"/>
        <v>1.142882399298992</v>
      </c>
      <c r="M44" s="633">
        <f t="shared" si="17"/>
        <v>1.142882399298992</v>
      </c>
      <c r="N44" s="633">
        <f t="shared" si="17"/>
        <v>1.2698693325544355</v>
      </c>
      <c r="O44" s="633">
        <f t="shared" si="17"/>
        <v>1.2698693325544355</v>
      </c>
      <c r="P44" s="633">
        <f t="shared" si="17"/>
        <v>1.2698693325544355</v>
      </c>
      <c r="Q44" s="633">
        <f t="shared" si="17"/>
        <v>1.2698693325544355</v>
      </c>
      <c r="R44" s="633">
        <f t="shared" si="17"/>
        <v>1.2698693325544355</v>
      </c>
      <c r="S44" s="633">
        <f t="shared" si="17"/>
        <v>1.2698693325544355</v>
      </c>
      <c r="T44" s="633">
        <f t="shared" si="17"/>
        <v>1.2698693325544355</v>
      </c>
      <c r="U44" s="633">
        <f t="shared" si="17"/>
        <v>1.2698693325544355</v>
      </c>
      <c r="V44" s="633">
        <f t="shared" si="17"/>
        <v>1.2698693325544355</v>
      </c>
      <c r="W44" s="633">
        <f t="shared" si="17"/>
        <v>1.2698693325544355</v>
      </c>
      <c r="X44" s="633">
        <f t="shared" si="17"/>
        <v>1.2698693325544355</v>
      </c>
      <c r="Y44" s="633">
        <f t="shared" si="17"/>
        <v>1.2698693325544355</v>
      </c>
      <c r="Z44" s="633">
        <f t="shared" si="17"/>
        <v>1.2698693325544355</v>
      </c>
      <c r="AA44" s="633">
        <f t="shared" si="17"/>
        <v>1.2698693325544355</v>
      </c>
      <c r="AB44" s="633">
        <f t="shared" si="17"/>
        <v>1.2698693325544355</v>
      </c>
      <c r="AC44" s="633">
        <f t="shared" si="17"/>
        <v>0.88890853278810489</v>
      </c>
    </row>
    <row r="45" spans="1:33" x14ac:dyDescent="0.2">
      <c r="A45" s="292" t="s">
        <v>150</v>
      </c>
      <c r="B45" s="633">
        <f t="shared" si="18"/>
        <v>0</v>
      </c>
      <c r="C45" s="633">
        <f t="shared" si="17"/>
        <v>0</v>
      </c>
      <c r="D45" s="633">
        <f t="shared" si="17"/>
        <v>0</v>
      </c>
      <c r="E45" s="633">
        <f t="shared" si="17"/>
        <v>0</v>
      </c>
      <c r="F45" s="633">
        <f t="shared" si="17"/>
        <v>0</v>
      </c>
      <c r="G45" s="633">
        <f t="shared" si="17"/>
        <v>0</v>
      </c>
      <c r="H45" s="633">
        <f t="shared" si="17"/>
        <v>0</v>
      </c>
      <c r="I45" s="633">
        <f t="shared" si="17"/>
        <v>0</v>
      </c>
      <c r="J45" s="633">
        <f t="shared" si="17"/>
        <v>0</v>
      </c>
      <c r="K45" s="633">
        <f t="shared" si="17"/>
        <v>0</v>
      </c>
      <c r="L45" s="633">
        <f t="shared" si="17"/>
        <v>0</v>
      </c>
      <c r="M45" s="633">
        <f t="shared" si="17"/>
        <v>0</v>
      </c>
      <c r="N45" s="633">
        <f t="shared" si="17"/>
        <v>0</v>
      </c>
      <c r="O45" s="633">
        <f t="shared" si="17"/>
        <v>0</v>
      </c>
      <c r="P45" s="633">
        <f t="shared" si="17"/>
        <v>0</v>
      </c>
      <c r="Q45" s="633">
        <f t="shared" si="17"/>
        <v>0</v>
      </c>
      <c r="R45" s="633">
        <f t="shared" si="17"/>
        <v>0</v>
      </c>
      <c r="S45" s="633">
        <f t="shared" si="17"/>
        <v>0</v>
      </c>
      <c r="T45" s="633">
        <f t="shared" si="17"/>
        <v>0</v>
      </c>
      <c r="U45" s="633">
        <f t="shared" si="17"/>
        <v>0</v>
      </c>
      <c r="V45" s="633">
        <f t="shared" si="17"/>
        <v>0</v>
      </c>
      <c r="W45" s="633">
        <f t="shared" si="17"/>
        <v>0</v>
      </c>
      <c r="X45" s="633">
        <f t="shared" si="17"/>
        <v>0</v>
      </c>
      <c r="Y45" s="633">
        <f t="shared" si="17"/>
        <v>0</v>
      </c>
      <c r="Z45" s="633">
        <f t="shared" si="17"/>
        <v>0</v>
      </c>
      <c r="AA45" s="633">
        <f t="shared" si="17"/>
        <v>0</v>
      </c>
      <c r="AB45" s="633">
        <f t="shared" si="17"/>
        <v>0</v>
      </c>
      <c r="AC45" s="633">
        <f t="shared" si="17"/>
        <v>0</v>
      </c>
    </row>
    <row r="46" spans="1:33" x14ac:dyDescent="0.2">
      <c r="A46" s="292" t="s">
        <v>151</v>
      </c>
      <c r="B46" s="633">
        <f t="shared" si="18"/>
        <v>1.2736680021823836</v>
      </c>
      <c r="C46" s="633">
        <f t="shared" si="17"/>
        <v>1.2736680021823836</v>
      </c>
      <c r="D46" s="633">
        <f t="shared" si="17"/>
        <v>1.2736680021823836</v>
      </c>
      <c r="E46" s="633">
        <f t="shared" si="17"/>
        <v>1.2736680021823836</v>
      </c>
      <c r="F46" s="633">
        <f t="shared" si="17"/>
        <v>1.2736680021823836</v>
      </c>
      <c r="G46" s="633">
        <f t="shared" si="17"/>
        <v>1.2736680021823836</v>
      </c>
      <c r="H46" s="633">
        <f t="shared" si="17"/>
        <v>1.4556205739227239</v>
      </c>
      <c r="I46" s="633">
        <f t="shared" si="17"/>
        <v>1.4556205739227239</v>
      </c>
      <c r="J46" s="633">
        <f t="shared" si="17"/>
        <v>1.4556205739227239</v>
      </c>
      <c r="K46" s="633">
        <f t="shared" si="17"/>
        <v>1.6375731456630647</v>
      </c>
      <c r="L46" s="633">
        <f t="shared" si="17"/>
        <v>1.6375731456630647</v>
      </c>
      <c r="M46" s="633">
        <f t="shared" si="17"/>
        <v>1.6375731456630647</v>
      </c>
      <c r="N46" s="633">
        <f t="shared" si="17"/>
        <v>1.819525717403405</v>
      </c>
      <c r="O46" s="633">
        <f t="shared" si="17"/>
        <v>1.819525717403405</v>
      </c>
      <c r="P46" s="633">
        <f t="shared" si="17"/>
        <v>1.819525717403405</v>
      </c>
      <c r="Q46" s="633">
        <f t="shared" si="17"/>
        <v>1.819525717403405</v>
      </c>
      <c r="R46" s="633">
        <f t="shared" si="17"/>
        <v>1.819525717403405</v>
      </c>
      <c r="S46" s="633">
        <f t="shared" si="17"/>
        <v>1.819525717403405</v>
      </c>
      <c r="T46" s="633">
        <f t="shared" si="17"/>
        <v>1.819525717403405</v>
      </c>
      <c r="U46" s="633">
        <f t="shared" si="17"/>
        <v>1.819525717403405</v>
      </c>
      <c r="V46" s="633">
        <f t="shared" si="17"/>
        <v>1.819525717403405</v>
      </c>
      <c r="W46" s="633">
        <f t="shared" si="17"/>
        <v>1.819525717403405</v>
      </c>
      <c r="X46" s="633">
        <f t="shared" si="17"/>
        <v>1.819525717403405</v>
      </c>
      <c r="Y46" s="633">
        <f t="shared" si="17"/>
        <v>1.819525717403405</v>
      </c>
      <c r="Z46" s="633">
        <f t="shared" si="17"/>
        <v>1.819525717403405</v>
      </c>
      <c r="AA46" s="633">
        <f t="shared" si="17"/>
        <v>1.819525717403405</v>
      </c>
      <c r="AB46" s="633">
        <f t="shared" si="17"/>
        <v>1.819525717403405</v>
      </c>
      <c r="AC46" s="633">
        <f t="shared" si="17"/>
        <v>1.2736680021823836</v>
      </c>
    </row>
    <row r="47" spans="1:33" x14ac:dyDescent="0.2">
      <c r="A47" s="292" t="s">
        <v>152</v>
      </c>
      <c r="B47" s="633">
        <f>IF(B$13="Deploy",B$36,B$36*$B185)</f>
        <v>0.37505646090172118</v>
      </c>
      <c r="C47" s="633">
        <f t="shared" ref="C47:AC47" si="19">IF(C$13="Deploy",C$36,C$36*$B185)</f>
        <v>0.37505646090172118</v>
      </c>
      <c r="D47" s="633">
        <f t="shared" si="19"/>
        <v>0.37505646090172118</v>
      </c>
      <c r="E47" s="633">
        <f t="shared" si="19"/>
        <v>0.37505646090172118</v>
      </c>
      <c r="F47" s="633">
        <f t="shared" si="19"/>
        <v>0.37505646090172118</v>
      </c>
      <c r="G47" s="633">
        <f t="shared" si="19"/>
        <v>0.37505646090172118</v>
      </c>
      <c r="H47" s="633">
        <f t="shared" si="19"/>
        <v>0.42863595531625276</v>
      </c>
      <c r="I47" s="633">
        <f t="shared" si="19"/>
        <v>0.42863595531625276</v>
      </c>
      <c r="J47" s="633">
        <f t="shared" si="19"/>
        <v>0.42863595531625276</v>
      </c>
      <c r="K47" s="633">
        <f t="shared" si="19"/>
        <v>0.4822154497307844</v>
      </c>
      <c r="L47" s="633">
        <f t="shared" si="19"/>
        <v>0.4822154497307844</v>
      </c>
      <c r="M47" s="633">
        <f t="shared" si="19"/>
        <v>0.4822154497307844</v>
      </c>
      <c r="N47" s="633">
        <f t="shared" si="19"/>
        <v>0.53579494414531592</v>
      </c>
      <c r="O47" s="633">
        <f t="shared" si="19"/>
        <v>0.53579494414531592</v>
      </c>
      <c r="P47" s="633">
        <f t="shared" si="19"/>
        <v>0.53579494414531592</v>
      </c>
      <c r="Q47" s="633">
        <f t="shared" si="19"/>
        <v>0.53579494414531592</v>
      </c>
      <c r="R47" s="633">
        <f t="shared" si="19"/>
        <v>2.4</v>
      </c>
      <c r="S47" s="633">
        <f t="shared" si="19"/>
        <v>2.4</v>
      </c>
      <c r="T47" s="633">
        <f t="shared" si="19"/>
        <v>2.4</v>
      </c>
      <c r="U47" s="633">
        <f t="shared" si="19"/>
        <v>2.4</v>
      </c>
      <c r="V47" s="633">
        <f t="shared" si="19"/>
        <v>2.4</v>
      </c>
      <c r="W47" s="633">
        <f t="shared" si="19"/>
        <v>2.4</v>
      </c>
      <c r="X47" s="633">
        <f t="shared" si="19"/>
        <v>0.53579494414531592</v>
      </c>
      <c r="Y47" s="633">
        <f t="shared" si="19"/>
        <v>0.53579494414531592</v>
      </c>
      <c r="Z47" s="633">
        <f t="shared" si="19"/>
        <v>0.53579494414531592</v>
      </c>
      <c r="AA47" s="633">
        <f t="shared" si="19"/>
        <v>0.53579494414531592</v>
      </c>
      <c r="AB47" s="633">
        <f t="shared" si="19"/>
        <v>0.53579494414531592</v>
      </c>
      <c r="AC47" s="633">
        <f t="shared" si="19"/>
        <v>0.37505646090172118</v>
      </c>
    </row>
    <row r="48" spans="1:33" ht="12.75" x14ac:dyDescent="0.2">
      <c r="A48" s="369" t="s">
        <v>153</v>
      </c>
      <c r="B48" s="633">
        <f t="shared" si="18"/>
        <v>1.68</v>
      </c>
      <c r="C48" s="633">
        <f t="shared" si="17"/>
        <v>1.68</v>
      </c>
      <c r="D48" s="633">
        <f t="shared" si="17"/>
        <v>1.68</v>
      </c>
      <c r="E48" s="633">
        <f t="shared" si="17"/>
        <v>1.68</v>
      </c>
      <c r="F48" s="633">
        <f t="shared" si="17"/>
        <v>1.68</v>
      </c>
      <c r="G48" s="633">
        <f t="shared" si="17"/>
        <v>1.68</v>
      </c>
      <c r="H48" s="633">
        <f t="shared" si="17"/>
        <v>1.92</v>
      </c>
      <c r="I48" s="633">
        <f t="shared" si="17"/>
        <v>1.92</v>
      </c>
      <c r="J48" s="633">
        <f t="shared" si="17"/>
        <v>1.92</v>
      </c>
      <c r="K48" s="633">
        <f t="shared" si="17"/>
        <v>2.16</v>
      </c>
      <c r="L48" s="633">
        <f t="shared" si="17"/>
        <v>2.16</v>
      </c>
      <c r="M48" s="633">
        <f t="shared" si="17"/>
        <v>2.16</v>
      </c>
      <c r="N48" s="633">
        <f t="shared" si="17"/>
        <v>2.4</v>
      </c>
      <c r="O48" s="633">
        <f t="shared" si="17"/>
        <v>2.4</v>
      </c>
      <c r="P48" s="633">
        <f t="shared" si="17"/>
        <v>2.4</v>
      </c>
      <c r="Q48" s="633">
        <f t="shared" si="17"/>
        <v>2.4</v>
      </c>
      <c r="R48" s="633">
        <f t="shared" si="17"/>
        <v>2.4</v>
      </c>
      <c r="S48" s="633">
        <f t="shared" si="17"/>
        <v>2.4</v>
      </c>
      <c r="T48" s="633">
        <f t="shared" si="17"/>
        <v>2.4</v>
      </c>
      <c r="U48" s="633">
        <f t="shared" si="17"/>
        <v>2.4</v>
      </c>
      <c r="V48" s="633">
        <f t="shared" si="17"/>
        <v>2.4</v>
      </c>
      <c r="W48" s="633">
        <f t="shared" si="17"/>
        <v>2.4</v>
      </c>
      <c r="X48" s="633">
        <f t="shared" si="17"/>
        <v>2.4</v>
      </c>
      <c r="Y48" s="633">
        <f t="shared" si="17"/>
        <v>2.4</v>
      </c>
      <c r="Z48" s="633">
        <f t="shared" si="17"/>
        <v>2.4</v>
      </c>
      <c r="AA48" s="633">
        <f t="shared" si="17"/>
        <v>2.4</v>
      </c>
      <c r="AB48" s="633">
        <f t="shared" si="17"/>
        <v>2.4</v>
      </c>
      <c r="AC48" s="633">
        <f t="shared" si="17"/>
        <v>1.68</v>
      </c>
    </row>
    <row r="49" spans="1:29" ht="12.75" x14ac:dyDescent="0.2">
      <c r="A49" s="153" t="s">
        <v>154</v>
      </c>
      <c r="B49" s="86"/>
      <c r="C49" s="47"/>
      <c r="D49" s="47"/>
      <c r="E49" s="47"/>
      <c r="F49" s="47"/>
      <c r="G49" s="47"/>
      <c r="H49" s="47"/>
      <c r="I49" s="47"/>
      <c r="J49" s="48"/>
      <c r="K49" s="48"/>
      <c r="L49" s="47"/>
      <c r="M49" s="47"/>
      <c r="N49" s="49"/>
      <c r="O49" s="49"/>
      <c r="P49" s="50"/>
      <c r="Q49" s="47"/>
      <c r="R49" s="49"/>
      <c r="S49" s="49"/>
      <c r="T49" s="49"/>
      <c r="U49" s="49"/>
      <c r="V49" s="49"/>
      <c r="W49" s="49"/>
      <c r="X49" s="49"/>
      <c r="Y49" s="49"/>
      <c r="Z49" s="49"/>
      <c r="AA49" s="49"/>
      <c r="AB49" s="49"/>
      <c r="AC49" s="525"/>
    </row>
    <row r="50" spans="1:29" x14ac:dyDescent="0.2">
      <c r="A50" s="293" t="s">
        <v>155</v>
      </c>
      <c r="B50" s="85">
        <v>0</v>
      </c>
      <c r="C50" s="85">
        <v>0</v>
      </c>
      <c r="D50" s="85">
        <v>0</v>
      </c>
      <c r="E50" s="85">
        <v>0</v>
      </c>
      <c r="F50" s="85">
        <v>0</v>
      </c>
      <c r="G50" s="85">
        <v>0</v>
      </c>
      <c r="H50" s="85">
        <v>0</v>
      </c>
      <c r="I50" s="85">
        <v>0</v>
      </c>
      <c r="J50" s="85">
        <v>0</v>
      </c>
      <c r="K50" s="85">
        <v>0</v>
      </c>
      <c r="L50" s="85">
        <v>0</v>
      </c>
      <c r="M50" s="85">
        <v>0</v>
      </c>
      <c r="N50" s="85">
        <v>3.52</v>
      </c>
      <c r="O50" s="85">
        <v>3.52</v>
      </c>
      <c r="P50" s="85">
        <v>3.52</v>
      </c>
      <c r="Q50" s="85">
        <v>4</v>
      </c>
      <c r="R50" s="85">
        <v>4</v>
      </c>
      <c r="S50" s="85">
        <v>4</v>
      </c>
      <c r="T50" s="85">
        <v>4</v>
      </c>
      <c r="U50" s="85">
        <v>4</v>
      </c>
      <c r="V50" s="85">
        <v>4</v>
      </c>
      <c r="W50" s="85">
        <v>4</v>
      </c>
      <c r="X50" s="85">
        <v>0</v>
      </c>
      <c r="Y50" s="85">
        <v>0</v>
      </c>
      <c r="Z50" s="85">
        <v>0</v>
      </c>
      <c r="AA50" s="85">
        <v>0</v>
      </c>
      <c r="AB50" s="655">
        <v>0</v>
      </c>
      <c r="AC50" s="85">
        <v>0</v>
      </c>
    </row>
    <row r="51" spans="1:29" x14ac:dyDescent="0.2">
      <c r="A51" s="294" t="s">
        <v>156</v>
      </c>
      <c r="B51" s="52">
        <f t="shared" ref="B51:M51" si="20">B50*0.75</f>
        <v>0</v>
      </c>
      <c r="C51" s="52">
        <f t="shared" si="20"/>
        <v>0</v>
      </c>
      <c r="D51" s="52">
        <f t="shared" si="20"/>
        <v>0</v>
      </c>
      <c r="E51" s="52">
        <f t="shared" si="20"/>
        <v>0</v>
      </c>
      <c r="F51" s="52">
        <f t="shared" si="20"/>
        <v>0</v>
      </c>
      <c r="G51" s="52">
        <f t="shared" si="20"/>
        <v>0</v>
      </c>
      <c r="H51" s="52">
        <f t="shared" si="20"/>
        <v>0</v>
      </c>
      <c r="I51" s="52">
        <f t="shared" si="20"/>
        <v>0</v>
      </c>
      <c r="J51" s="52">
        <f t="shared" si="20"/>
        <v>0</v>
      </c>
      <c r="K51" s="52">
        <f t="shared" si="20"/>
        <v>0</v>
      </c>
      <c r="L51" s="52">
        <f t="shared" si="20"/>
        <v>0</v>
      </c>
      <c r="M51" s="52">
        <f t="shared" si="20"/>
        <v>0</v>
      </c>
      <c r="N51" s="52">
        <f>N50*0.75</f>
        <v>2.64</v>
      </c>
      <c r="O51" s="52">
        <f t="shared" ref="O51:AB51" si="21">O50*0.75</f>
        <v>2.64</v>
      </c>
      <c r="P51" s="52">
        <f t="shared" si="21"/>
        <v>2.64</v>
      </c>
      <c r="Q51" s="52">
        <f t="shared" si="21"/>
        <v>3</v>
      </c>
      <c r="R51" s="52">
        <f t="shared" si="21"/>
        <v>3</v>
      </c>
      <c r="S51" s="52">
        <f t="shared" si="21"/>
        <v>3</v>
      </c>
      <c r="T51" s="52">
        <f t="shared" si="21"/>
        <v>3</v>
      </c>
      <c r="U51" s="52">
        <f t="shared" si="21"/>
        <v>3</v>
      </c>
      <c r="V51" s="52">
        <f t="shared" si="21"/>
        <v>3</v>
      </c>
      <c r="W51" s="52">
        <f t="shared" si="21"/>
        <v>3</v>
      </c>
      <c r="X51" s="52">
        <f t="shared" si="21"/>
        <v>0</v>
      </c>
      <c r="Y51" s="52">
        <f t="shared" si="21"/>
        <v>0</v>
      </c>
      <c r="Z51" s="52">
        <f t="shared" si="21"/>
        <v>0</v>
      </c>
      <c r="AA51" s="52">
        <f t="shared" si="21"/>
        <v>0</v>
      </c>
      <c r="AB51" s="646">
        <f t="shared" si="21"/>
        <v>0</v>
      </c>
      <c r="AC51" s="52">
        <v>0</v>
      </c>
    </row>
    <row r="52" spans="1:29" x14ac:dyDescent="0.2">
      <c r="A52" s="293" t="s">
        <v>157</v>
      </c>
      <c r="B52" s="85">
        <v>0</v>
      </c>
      <c r="C52" s="85">
        <v>0</v>
      </c>
      <c r="D52" s="85">
        <v>0</v>
      </c>
      <c r="E52" s="85">
        <v>0</v>
      </c>
      <c r="F52" s="85">
        <v>0</v>
      </c>
      <c r="G52" s="85">
        <v>0</v>
      </c>
      <c r="H52" s="85">
        <v>0</v>
      </c>
      <c r="I52" s="85">
        <v>0</v>
      </c>
      <c r="J52" s="85">
        <v>0</v>
      </c>
      <c r="K52" s="85">
        <v>0</v>
      </c>
      <c r="L52" s="85">
        <v>0</v>
      </c>
      <c r="M52" s="85">
        <v>0</v>
      </c>
      <c r="N52" s="85">
        <v>0</v>
      </c>
      <c r="O52" s="85">
        <v>0</v>
      </c>
      <c r="P52" s="85">
        <v>0</v>
      </c>
      <c r="Q52" s="85">
        <v>0</v>
      </c>
      <c r="R52" s="85">
        <v>0</v>
      </c>
      <c r="S52" s="85">
        <v>0</v>
      </c>
      <c r="T52" s="85">
        <v>0</v>
      </c>
      <c r="U52" s="85">
        <v>0</v>
      </c>
      <c r="V52" s="85">
        <v>0</v>
      </c>
      <c r="W52" s="85">
        <v>0</v>
      </c>
      <c r="X52" s="85">
        <v>0</v>
      </c>
      <c r="Y52" s="85">
        <v>0</v>
      </c>
      <c r="Z52" s="85">
        <v>0</v>
      </c>
      <c r="AA52" s="85">
        <v>0</v>
      </c>
      <c r="AB52" s="655">
        <v>0</v>
      </c>
      <c r="AC52" s="85">
        <v>0</v>
      </c>
    </row>
    <row r="53" spans="1:29" x14ac:dyDescent="0.2">
      <c r="A53" s="294" t="s">
        <v>158</v>
      </c>
      <c r="B53" s="52">
        <v>0</v>
      </c>
      <c r="C53" s="52">
        <v>0</v>
      </c>
      <c r="D53" s="52">
        <v>0</v>
      </c>
      <c r="E53" s="52">
        <v>0</v>
      </c>
      <c r="F53" s="52">
        <v>0</v>
      </c>
      <c r="G53" s="52">
        <v>0</v>
      </c>
      <c r="H53" s="52">
        <v>0</v>
      </c>
      <c r="I53" s="52">
        <v>0</v>
      </c>
      <c r="J53" s="52">
        <v>0</v>
      </c>
      <c r="K53" s="52">
        <v>0</v>
      </c>
      <c r="L53" s="52">
        <v>0</v>
      </c>
      <c r="M53" s="52">
        <v>0</v>
      </c>
      <c r="N53" s="52">
        <v>0</v>
      </c>
      <c r="O53" s="52">
        <v>0</v>
      </c>
      <c r="P53" s="52">
        <v>0</v>
      </c>
      <c r="Q53" s="52">
        <v>0</v>
      </c>
      <c r="R53" s="52">
        <v>0</v>
      </c>
      <c r="S53" s="52">
        <v>0</v>
      </c>
      <c r="T53" s="52">
        <v>0</v>
      </c>
      <c r="U53" s="52">
        <v>0</v>
      </c>
      <c r="V53" s="52">
        <v>0</v>
      </c>
      <c r="W53" s="52">
        <v>0</v>
      </c>
      <c r="X53" s="52">
        <v>0</v>
      </c>
      <c r="Y53" s="52">
        <v>0</v>
      </c>
      <c r="Z53" s="52">
        <v>0</v>
      </c>
      <c r="AA53" s="52">
        <v>0</v>
      </c>
      <c r="AB53" s="646">
        <v>0</v>
      </c>
      <c r="AC53" s="52">
        <v>0</v>
      </c>
    </row>
    <row r="54" spans="1:29" s="40" customFormat="1" x14ac:dyDescent="0.2">
      <c r="A54" s="293" t="s">
        <v>159</v>
      </c>
      <c r="B54" s="85">
        <v>0</v>
      </c>
      <c r="C54" s="85">
        <v>0</v>
      </c>
      <c r="D54" s="85">
        <v>0</v>
      </c>
      <c r="E54" s="85">
        <v>0</v>
      </c>
      <c r="F54" s="85">
        <v>0</v>
      </c>
      <c r="G54" s="85">
        <v>0</v>
      </c>
      <c r="H54" s="85">
        <v>0</v>
      </c>
      <c r="I54" s="85">
        <v>0</v>
      </c>
      <c r="J54" s="85">
        <v>0</v>
      </c>
      <c r="K54" s="85">
        <v>0</v>
      </c>
      <c r="L54" s="85">
        <v>0</v>
      </c>
      <c r="M54" s="85">
        <v>0</v>
      </c>
      <c r="N54" s="85">
        <f t="shared" ref="N54:V54" si="22">((N$35-1)*2)+1</f>
        <v>5</v>
      </c>
      <c r="O54" s="85">
        <f t="shared" si="22"/>
        <v>5</v>
      </c>
      <c r="P54" s="85">
        <f t="shared" si="22"/>
        <v>5</v>
      </c>
      <c r="Q54" s="85">
        <f t="shared" si="22"/>
        <v>5</v>
      </c>
      <c r="R54" s="85">
        <f t="shared" si="22"/>
        <v>5</v>
      </c>
      <c r="S54" s="85">
        <f t="shared" si="22"/>
        <v>5</v>
      </c>
      <c r="T54" s="85">
        <f t="shared" si="22"/>
        <v>5</v>
      </c>
      <c r="U54" s="85">
        <f t="shared" si="22"/>
        <v>5</v>
      </c>
      <c r="V54" s="85">
        <f t="shared" si="22"/>
        <v>5</v>
      </c>
      <c r="W54" s="85">
        <f>((W$35-1)*2)+1</f>
        <v>5</v>
      </c>
      <c r="X54" s="85">
        <v>0</v>
      </c>
      <c r="Y54" s="85">
        <v>0</v>
      </c>
      <c r="Z54" s="85">
        <v>0</v>
      </c>
      <c r="AA54" s="85">
        <v>0</v>
      </c>
      <c r="AB54" s="655">
        <v>0</v>
      </c>
      <c r="AC54" s="85">
        <v>0</v>
      </c>
    </row>
    <row r="55" spans="1:29" s="40" customFormat="1" x14ac:dyDescent="0.2">
      <c r="A55" s="294" t="s">
        <v>160</v>
      </c>
      <c r="B55" s="52">
        <f t="shared" ref="B55:M55" si="23">B54*0.75</f>
        <v>0</v>
      </c>
      <c r="C55" s="52">
        <f t="shared" si="23"/>
        <v>0</v>
      </c>
      <c r="D55" s="52">
        <f t="shared" si="23"/>
        <v>0</v>
      </c>
      <c r="E55" s="52">
        <f t="shared" si="23"/>
        <v>0</v>
      </c>
      <c r="F55" s="52">
        <f t="shared" si="23"/>
        <v>0</v>
      </c>
      <c r="G55" s="52">
        <f t="shared" si="23"/>
        <v>0</v>
      </c>
      <c r="H55" s="52">
        <f t="shared" si="23"/>
        <v>0</v>
      </c>
      <c r="I55" s="52">
        <f t="shared" si="23"/>
        <v>0</v>
      </c>
      <c r="J55" s="52">
        <f t="shared" si="23"/>
        <v>0</v>
      </c>
      <c r="K55" s="52">
        <f t="shared" si="23"/>
        <v>0</v>
      </c>
      <c r="L55" s="52">
        <f t="shared" si="23"/>
        <v>0</v>
      </c>
      <c r="M55" s="52">
        <f t="shared" si="23"/>
        <v>0</v>
      </c>
      <c r="N55" s="52">
        <f>N54*0.75</f>
        <v>3.75</v>
      </c>
      <c r="O55" s="52">
        <f t="shared" ref="O55:AB55" si="24">O54*0.75</f>
        <v>3.75</v>
      </c>
      <c r="P55" s="52">
        <f t="shared" si="24"/>
        <v>3.75</v>
      </c>
      <c r="Q55" s="52">
        <f t="shared" si="24"/>
        <v>3.75</v>
      </c>
      <c r="R55" s="52">
        <f t="shared" si="24"/>
        <v>3.75</v>
      </c>
      <c r="S55" s="52">
        <f t="shared" si="24"/>
        <v>3.75</v>
      </c>
      <c r="T55" s="52">
        <f t="shared" si="24"/>
        <v>3.75</v>
      </c>
      <c r="U55" s="52">
        <f t="shared" si="24"/>
        <v>3.75</v>
      </c>
      <c r="V55" s="52">
        <f t="shared" si="24"/>
        <v>3.75</v>
      </c>
      <c r="W55" s="52">
        <f t="shared" si="24"/>
        <v>3.75</v>
      </c>
      <c r="X55" s="52">
        <f t="shared" si="24"/>
        <v>0</v>
      </c>
      <c r="Y55" s="52">
        <f t="shared" si="24"/>
        <v>0</v>
      </c>
      <c r="Z55" s="52">
        <f t="shared" si="24"/>
        <v>0</v>
      </c>
      <c r="AA55" s="52">
        <f t="shared" si="24"/>
        <v>0</v>
      </c>
      <c r="AB55" s="646">
        <f t="shared" si="24"/>
        <v>0</v>
      </c>
      <c r="AC55" s="52">
        <v>0</v>
      </c>
    </row>
    <row r="56" spans="1:29" s="40" customFormat="1" x14ac:dyDescent="0.2">
      <c r="A56" s="293" t="s">
        <v>161</v>
      </c>
      <c r="B56" s="85">
        <v>0</v>
      </c>
      <c r="C56" s="85">
        <v>0</v>
      </c>
      <c r="D56" s="85">
        <v>0</v>
      </c>
      <c r="E56" s="85">
        <v>0</v>
      </c>
      <c r="F56" s="85">
        <v>0</v>
      </c>
      <c r="G56" s="85">
        <v>0</v>
      </c>
      <c r="H56" s="85">
        <v>0</v>
      </c>
      <c r="I56" s="85">
        <v>0</v>
      </c>
      <c r="J56" s="85">
        <v>0</v>
      </c>
      <c r="K56" s="85">
        <v>0</v>
      </c>
      <c r="L56" s="85">
        <v>0</v>
      </c>
      <c r="M56" s="85">
        <v>0</v>
      </c>
      <c r="N56" s="85">
        <f t="shared" ref="N56:V56" si="25">(N$35*2)+1</f>
        <v>7</v>
      </c>
      <c r="O56" s="85">
        <f t="shared" si="25"/>
        <v>7</v>
      </c>
      <c r="P56" s="85">
        <f t="shared" si="25"/>
        <v>7</v>
      </c>
      <c r="Q56" s="85">
        <f t="shared" si="25"/>
        <v>7</v>
      </c>
      <c r="R56" s="85">
        <f t="shared" si="25"/>
        <v>7</v>
      </c>
      <c r="S56" s="85">
        <f t="shared" si="25"/>
        <v>7</v>
      </c>
      <c r="T56" s="85">
        <f t="shared" si="25"/>
        <v>7</v>
      </c>
      <c r="U56" s="85">
        <f t="shared" si="25"/>
        <v>7</v>
      </c>
      <c r="V56" s="85">
        <f t="shared" si="25"/>
        <v>7</v>
      </c>
      <c r="W56" s="85">
        <f>(W$35*2)+1</f>
        <v>7</v>
      </c>
      <c r="X56" s="85">
        <v>0</v>
      </c>
      <c r="Y56" s="85">
        <v>0</v>
      </c>
      <c r="Z56" s="85">
        <v>0</v>
      </c>
      <c r="AA56" s="85">
        <v>0</v>
      </c>
      <c r="AB56" s="655">
        <v>0</v>
      </c>
      <c r="AC56" s="85">
        <v>0</v>
      </c>
    </row>
    <row r="57" spans="1:29" s="40" customFormat="1" x14ac:dyDescent="0.2">
      <c r="A57" s="294" t="s">
        <v>162</v>
      </c>
      <c r="B57" s="52">
        <f t="shared" ref="B57:M57" si="26">B56*0.75</f>
        <v>0</v>
      </c>
      <c r="C57" s="52">
        <f t="shared" si="26"/>
        <v>0</v>
      </c>
      <c r="D57" s="52">
        <f t="shared" si="26"/>
        <v>0</v>
      </c>
      <c r="E57" s="52">
        <f t="shared" si="26"/>
        <v>0</v>
      </c>
      <c r="F57" s="52">
        <f t="shared" si="26"/>
        <v>0</v>
      </c>
      <c r="G57" s="52">
        <f t="shared" si="26"/>
        <v>0</v>
      </c>
      <c r="H57" s="52">
        <f t="shared" si="26"/>
        <v>0</v>
      </c>
      <c r="I57" s="52">
        <f t="shared" si="26"/>
        <v>0</v>
      </c>
      <c r="J57" s="52">
        <f t="shared" si="26"/>
        <v>0</v>
      </c>
      <c r="K57" s="52">
        <f t="shared" si="26"/>
        <v>0</v>
      </c>
      <c r="L57" s="52">
        <f t="shared" si="26"/>
        <v>0</v>
      </c>
      <c r="M57" s="52">
        <f t="shared" si="26"/>
        <v>0</v>
      </c>
      <c r="N57" s="52">
        <f>N56*0.75</f>
        <v>5.25</v>
      </c>
      <c r="O57" s="52">
        <f t="shared" ref="O57:AB57" si="27">O56*0.75</f>
        <v>5.25</v>
      </c>
      <c r="P57" s="52">
        <f t="shared" si="27"/>
        <v>5.25</v>
      </c>
      <c r="Q57" s="52">
        <f t="shared" si="27"/>
        <v>5.25</v>
      </c>
      <c r="R57" s="52">
        <f t="shared" si="27"/>
        <v>5.25</v>
      </c>
      <c r="S57" s="52">
        <f t="shared" si="27"/>
        <v>5.25</v>
      </c>
      <c r="T57" s="52">
        <f t="shared" si="27"/>
        <v>5.25</v>
      </c>
      <c r="U57" s="52">
        <f t="shared" si="27"/>
        <v>5.25</v>
      </c>
      <c r="V57" s="52">
        <f t="shared" si="27"/>
        <v>5.25</v>
      </c>
      <c r="W57" s="52">
        <f t="shared" si="27"/>
        <v>5.25</v>
      </c>
      <c r="X57" s="52">
        <f t="shared" si="27"/>
        <v>0</v>
      </c>
      <c r="Y57" s="52">
        <f t="shared" si="27"/>
        <v>0</v>
      </c>
      <c r="Z57" s="52">
        <f t="shared" si="27"/>
        <v>0</v>
      </c>
      <c r="AA57" s="52">
        <f t="shared" si="27"/>
        <v>0</v>
      </c>
      <c r="AB57" s="646">
        <f t="shared" si="27"/>
        <v>0</v>
      </c>
      <c r="AC57" s="52">
        <v>0</v>
      </c>
    </row>
    <row r="58" spans="1:29" s="40" customFormat="1" x14ac:dyDescent="0.2">
      <c r="A58" s="293" t="s">
        <v>163</v>
      </c>
      <c r="B58" s="85">
        <v>0</v>
      </c>
      <c r="C58" s="85">
        <v>0</v>
      </c>
      <c r="D58" s="85">
        <v>0</v>
      </c>
      <c r="E58" s="85">
        <v>0</v>
      </c>
      <c r="F58" s="85">
        <v>0</v>
      </c>
      <c r="G58" s="85">
        <v>0</v>
      </c>
      <c r="H58" s="85">
        <v>0</v>
      </c>
      <c r="I58" s="85">
        <v>0</v>
      </c>
      <c r="J58" s="85">
        <v>0</v>
      </c>
      <c r="K58" s="85">
        <v>0</v>
      </c>
      <c r="L58" s="85">
        <v>0</v>
      </c>
      <c r="M58" s="85">
        <v>0</v>
      </c>
      <c r="N58" s="85">
        <v>0</v>
      </c>
      <c r="O58" s="85">
        <v>0</v>
      </c>
      <c r="P58" s="85">
        <v>0</v>
      </c>
      <c r="Q58" s="85">
        <v>0</v>
      </c>
      <c r="R58" s="85">
        <v>0</v>
      </c>
      <c r="S58" s="85">
        <v>0</v>
      </c>
      <c r="T58" s="85">
        <v>0</v>
      </c>
      <c r="U58" s="85">
        <v>0</v>
      </c>
      <c r="V58" s="85">
        <v>0</v>
      </c>
      <c r="W58" s="85">
        <v>0</v>
      </c>
      <c r="X58" s="85">
        <v>0</v>
      </c>
      <c r="Y58" s="85">
        <v>0</v>
      </c>
      <c r="Z58" s="85">
        <v>0</v>
      </c>
      <c r="AA58" s="85">
        <v>0</v>
      </c>
      <c r="AB58" s="655">
        <v>0</v>
      </c>
      <c r="AC58" s="85">
        <v>0</v>
      </c>
    </row>
    <row r="59" spans="1:29" s="40" customFormat="1" x14ac:dyDescent="0.2">
      <c r="A59" s="294" t="s">
        <v>164</v>
      </c>
      <c r="B59" s="52">
        <v>0</v>
      </c>
      <c r="C59" s="52">
        <v>0</v>
      </c>
      <c r="D59" s="52">
        <v>0</v>
      </c>
      <c r="E59" s="52">
        <v>0</v>
      </c>
      <c r="F59" s="52">
        <v>0</v>
      </c>
      <c r="G59" s="52">
        <v>0</v>
      </c>
      <c r="H59" s="52">
        <v>0</v>
      </c>
      <c r="I59" s="52">
        <v>0</v>
      </c>
      <c r="J59" s="52">
        <v>0</v>
      </c>
      <c r="K59" s="52">
        <v>0</v>
      </c>
      <c r="L59" s="52">
        <v>0</v>
      </c>
      <c r="M59" s="52">
        <v>0</v>
      </c>
      <c r="N59" s="52">
        <v>0</v>
      </c>
      <c r="O59" s="52">
        <v>0</v>
      </c>
      <c r="P59" s="52">
        <v>0</v>
      </c>
      <c r="Q59" s="52">
        <v>0</v>
      </c>
      <c r="R59" s="52">
        <v>0</v>
      </c>
      <c r="S59" s="52">
        <v>0</v>
      </c>
      <c r="T59" s="52">
        <v>0</v>
      </c>
      <c r="U59" s="52">
        <v>0</v>
      </c>
      <c r="V59" s="52">
        <v>0</v>
      </c>
      <c r="W59" s="52">
        <v>0</v>
      </c>
      <c r="X59" s="52">
        <v>0</v>
      </c>
      <c r="Y59" s="52">
        <v>0</v>
      </c>
      <c r="Z59" s="52">
        <v>0</v>
      </c>
      <c r="AA59" s="52">
        <v>0</v>
      </c>
      <c r="AB59" s="646">
        <v>0</v>
      </c>
      <c r="AC59" s="52">
        <v>0</v>
      </c>
    </row>
    <row r="60" spans="1:29" ht="12.75" x14ac:dyDescent="0.2">
      <c r="A60" s="155" t="s">
        <v>165</v>
      </c>
      <c r="B60" s="110"/>
      <c r="C60" s="31"/>
      <c r="D60" s="31"/>
      <c r="E60" s="31"/>
      <c r="F60" s="31"/>
      <c r="G60" s="31"/>
      <c r="H60" s="31"/>
      <c r="I60" s="31"/>
      <c r="J60" s="31"/>
      <c r="K60" s="31"/>
      <c r="L60" s="31"/>
      <c r="M60" s="31"/>
      <c r="N60" s="31"/>
      <c r="O60" s="31"/>
      <c r="P60" s="31"/>
      <c r="Q60" s="31"/>
      <c r="R60" s="31"/>
      <c r="S60" s="31"/>
      <c r="T60" s="32"/>
      <c r="U60" s="31"/>
      <c r="V60" s="31"/>
      <c r="W60" s="31"/>
      <c r="X60" s="31"/>
      <c r="Y60" s="31"/>
      <c r="Z60" s="31"/>
      <c r="AA60" s="31"/>
      <c r="AB60" s="31"/>
      <c r="AC60" s="658"/>
    </row>
    <row r="61" spans="1:29" x14ac:dyDescent="0.2">
      <c r="A61" s="36" t="str">
        <f>A110</f>
        <v>Pilot Upper Limit</v>
      </c>
      <c r="B61" s="145">
        <f>$B110</f>
        <v>9</v>
      </c>
      <c r="C61" s="145">
        <f t="shared" ref="C61:AC61" si="28">$B110</f>
        <v>9</v>
      </c>
      <c r="D61" s="145">
        <f t="shared" si="28"/>
        <v>9</v>
      </c>
      <c r="E61" s="145">
        <f t="shared" si="28"/>
        <v>9</v>
      </c>
      <c r="F61" s="145">
        <f t="shared" si="28"/>
        <v>9</v>
      </c>
      <c r="G61" s="145">
        <f t="shared" si="28"/>
        <v>9</v>
      </c>
      <c r="H61" s="145">
        <f t="shared" si="28"/>
        <v>9</v>
      </c>
      <c r="I61" s="145">
        <f t="shared" si="28"/>
        <v>9</v>
      </c>
      <c r="J61" s="145">
        <f t="shared" si="28"/>
        <v>9</v>
      </c>
      <c r="K61" s="145">
        <f t="shared" si="28"/>
        <v>9</v>
      </c>
      <c r="L61" s="145">
        <f t="shared" si="28"/>
        <v>9</v>
      </c>
      <c r="M61" s="145">
        <f t="shared" si="28"/>
        <v>9</v>
      </c>
      <c r="N61" s="145">
        <f t="shared" si="28"/>
        <v>9</v>
      </c>
      <c r="O61" s="145">
        <f t="shared" si="28"/>
        <v>9</v>
      </c>
      <c r="P61" s="145">
        <f t="shared" si="28"/>
        <v>9</v>
      </c>
      <c r="Q61" s="145">
        <f t="shared" si="28"/>
        <v>9</v>
      </c>
      <c r="R61" s="145">
        <f t="shared" si="28"/>
        <v>9</v>
      </c>
      <c r="S61" s="145">
        <f t="shared" si="28"/>
        <v>9</v>
      </c>
      <c r="T61" s="145">
        <f t="shared" si="28"/>
        <v>9</v>
      </c>
      <c r="U61" s="145">
        <f t="shared" si="28"/>
        <v>9</v>
      </c>
      <c r="V61" s="145">
        <f t="shared" si="28"/>
        <v>9</v>
      </c>
      <c r="W61" s="145">
        <f t="shared" si="28"/>
        <v>9</v>
      </c>
      <c r="X61" s="145">
        <f t="shared" si="28"/>
        <v>9</v>
      </c>
      <c r="Y61" s="145">
        <f t="shared" si="28"/>
        <v>9</v>
      </c>
      <c r="Z61" s="145">
        <f t="shared" si="28"/>
        <v>9</v>
      </c>
      <c r="AA61" s="145">
        <f t="shared" si="28"/>
        <v>9</v>
      </c>
      <c r="AB61" s="656">
        <f t="shared" si="28"/>
        <v>9</v>
      </c>
      <c r="AC61" s="145">
        <f t="shared" si="28"/>
        <v>9</v>
      </c>
    </row>
    <row r="62" spans="1:29" x14ac:dyDescent="0.2">
      <c r="A62" s="36" t="str">
        <f t="shared" ref="A62:A92" si="29">A111</f>
        <v>Pilot Lower Limit</v>
      </c>
      <c r="B62" s="146">
        <f>IF($B111 = 0,"N/A",ROUNDUP(IF(B$13="Deploy",MAX((B$104/100)*$B111,$B111),(B$104/100)*$B111),0))</f>
        <v>4</v>
      </c>
      <c r="C62" s="146">
        <f t="shared" ref="C62:AC62" si="30">IF($B111 = 0,"N/A",ROUNDUP(IF(C$13="Deploy",MAX((C$104/100)*$B111,$B111),(C$104/100)*$B111),0))</f>
        <v>4</v>
      </c>
      <c r="D62" s="146">
        <f t="shared" si="30"/>
        <v>4</v>
      </c>
      <c r="E62" s="146">
        <f t="shared" si="30"/>
        <v>4</v>
      </c>
      <c r="F62" s="146">
        <f t="shared" si="30"/>
        <v>4</v>
      </c>
      <c r="G62" s="146">
        <f t="shared" si="30"/>
        <v>4</v>
      </c>
      <c r="H62" s="146">
        <f t="shared" si="30"/>
        <v>5</v>
      </c>
      <c r="I62" s="146">
        <f t="shared" si="30"/>
        <v>5</v>
      </c>
      <c r="J62" s="146">
        <f t="shared" si="30"/>
        <v>6</v>
      </c>
      <c r="K62" s="146">
        <f t="shared" si="30"/>
        <v>6</v>
      </c>
      <c r="L62" s="146">
        <f t="shared" si="30"/>
        <v>7</v>
      </c>
      <c r="M62" s="146">
        <f t="shared" si="30"/>
        <v>8</v>
      </c>
      <c r="N62" s="146">
        <f t="shared" si="30"/>
        <v>8</v>
      </c>
      <c r="O62" s="146">
        <f t="shared" si="30"/>
        <v>8</v>
      </c>
      <c r="P62" s="146">
        <f t="shared" si="30"/>
        <v>8</v>
      </c>
      <c r="Q62" s="146">
        <f t="shared" si="30"/>
        <v>8</v>
      </c>
      <c r="R62" s="146">
        <f t="shared" si="30"/>
        <v>9</v>
      </c>
      <c r="S62" s="146">
        <f t="shared" si="30"/>
        <v>9</v>
      </c>
      <c r="T62" s="146">
        <f t="shared" si="30"/>
        <v>9</v>
      </c>
      <c r="U62" s="146">
        <f t="shared" si="30"/>
        <v>9</v>
      </c>
      <c r="V62" s="146">
        <f t="shared" si="30"/>
        <v>9</v>
      </c>
      <c r="W62" s="146">
        <f t="shared" si="30"/>
        <v>9</v>
      </c>
      <c r="X62" s="146">
        <f t="shared" si="30"/>
        <v>9</v>
      </c>
      <c r="Y62" s="146">
        <f t="shared" si="30"/>
        <v>9</v>
      </c>
      <c r="Z62" s="146">
        <f t="shared" si="30"/>
        <v>8</v>
      </c>
      <c r="AA62" s="146">
        <f t="shared" si="30"/>
        <v>8</v>
      </c>
      <c r="AB62" s="657">
        <f t="shared" si="30"/>
        <v>8</v>
      </c>
      <c r="AC62" s="146">
        <f t="shared" si="30"/>
        <v>3</v>
      </c>
    </row>
    <row r="63" spans="1:29" x14ac:dyDescent="0.2">
      <c r="A63" s="36" t="str">
        <f t="shared" si="29"/>
        <v>MRWMC Pilots</v>
      </c>
      <c r="B63" s="146" t="str">
        <f t="shared" ref="B63:AC63" si="31">IF($B112 = "NA","NA",ROUNDUP(IF(B$13="Deploy",MAX((B$104/100)*$B112,$B112),(B$104/100)*$B112),0))</f>
        <v>NA</v>
      </c>
      <c r="C63" s="146" t="str">
        <f t="shared" si="31"/>
        <v>NA</v>
      </c>
      <c r="D63" s="146" t="str">
        <f t="shared" si="31"/>
        <v>NA</v>
      </c>
      <c r="E63" s="146" t="str">
        <f t="shared" si="31"/>
        <v>NA</v>
      </c>
      <c r="F63" s="146" t="str">
        <f t="shared" si="31"/>
        <v>NA</v>
      </c>
      <c r="G63" s="146" t="str">
        <f t="shared" si="31"/>
        <v>NA</v>
      </c>
      <c r="H63" s="146" t="str">
        <f t="shared" si="31"/>
        <v>NA</v>
      </c>
      <c r="I63" s="146" t="str">
        <f t="shared" si="31"/>
        <v>NA</v>
      </c>
      <c r="J63" s="146" t="str">
        <f t="shared" si="31"/>
        <v>NA</v>
      </c>
      <c r="K63" s="146" t="str">
        <f t="shared" si="31"/>
        <v>NA</v>
      </c>
      <c r="L63" s="146" t="str">
        <f t="shared" si="31"/>
        <v>NA</v>
      </c>
      <c r="M63" s="146" t="str">
        <f t="shared" si="31"/>
        <v>NA</v>
      </c>
      <c r="N63" s="146" t="str">
        <f t="shared" si="31"/>
        <v>NA</v>
      </c>
      <c r="O63" s="146" t="str">
        <f t="shared" si="31"/>
        <v>NA</v>
      </c>
      <c r="P63" s="146" t="str">
        <f t="shared" si="31"/>
        <v>NA</v>
      </c>
      <c r="Q63" s="146" t="str">
        <f t="shared" si="31"/>
        <v>NA</v>
      </c>
      <c r="R63" s="146" t="str">
        <f t="shared" si="31"/>
        <v>NA</v>
      </c>
      <c r="S63" s="146" t="str">
        <f t="shared" si="31"/>
        <v>NA</v>
      </c>
      <c r="T63" s="146" t="str">
        <f t="shared" si="31"/>
        <v>NA</v>
      </c>
      <c r="U63" s="146" t="str">
        <f t="shared" si="31"/>
        <v>NA</v>
      </c>
      <c r="V63" s="146" t="str">
        <f t="shared" si="31"/>
        <v>NA</v>
      </c>
      <c r="W63" s="146" t="str">
        <f t="shared" si="31"/>
        <v>NA</v>
      </c>
      <c r="X63" s="146" t="str">
        <f t="shared" si="31"/>
        <v>NA</v>
      </c>
      <c r="Y63" s="146" t="str">
        <f t="shared" si="31"/>
        <v>NA</v>
      </c>
      <c r="Z63" s="146" t="str">
        <f t="shared" si="31"/>
        <v>NA</v>
      </c>
      <c r="AA63" s="146" t="str">
        <f t="shared" si="31"/>
        <v>NA</v>
      </c>
      <c r="AB63" s="657" t="str">
        <f t="shared" si="31"/>
        <v>NA</v>
      </c>
      <c r="AC63" s="146" t="str">
        <f t="shared" si="31"/>
        <v>NA</v>
      </c>
    </row>
    <row r="64" spans="1:29" x14ac:dyDescent="0.2">
      <c r="A64" s="36" t="str">
        <f t="shared" si="29"/>
        <v>≥ Level 4 Pilots</v>
      </c>
      <c r="B64" s="146">
        <f t="shared" ref="B64:AC64" si="32">IF($B113 = "NA","NA",ROUNDUP(IF(B$13="Deploy",MAX((B$104/100)*$B113,$B113),(B$104/100)*$B113),0))</f>
        <v>1</v>
      </c>
      <c r="C64" s="146">
        <f t="shared" si="32"/>
        <v>1</v>
      </c>
      <c r="D64" s="146">
        <f t="shared" si="32"/>
        <v>1</v>
      </c>
      <c r="E64" s="146">
        <f t="shared" si="32"/>
        <v>1</v>
      </c>
      <c r="F64" s="146">
        <f t="shared" si="32"/>
        <v>1</v>
      </c>
      <c r="G64" s="146">
        <f t="shared" si="32"/>
        <v>1</v>
      </c>
      <c r="H64" s="146">
        <f t="shared" si="32"/>
        <v>1</v>
      </c>
      <c r="I64" s="146">
        <f t="shared" si="32"/>
        <v>1</v>
      </c>
      <c r="J64" s="146">
        <f t="shared" si="32"/>
        <v>1</v>
      </c>
      <c r="K64" s="146">
        <f t="shared" si="32"/>
        <v>1</v>
      </c>
      <c r="L64" s="146">
        <f t="shared" si="32"/>
        <v>1</v>
      </c>
      <c r="M64" s="146">
        <f t="shared" si="32"/>
        <v>1</v>
      </c>
      <c r="N64" s="146">
        <f t="shared" si="32"/>
        <v>1</v>
      </c>
      <c r="O64" s="146">
        <f t="shared" si="32"/>
        <v>1</v>
      </c>
      <c r="P64" s="146">
        <f t="shared" si="32"/>
        <v>1</v>
      </c>
      <c r="Q64" s="146">
        <f t="shared" si="32"/>
        <v>1</v>
      </c>
      <c r="R64" s="146">
        <f t="shared" si="32"/>
        <v>1</v>
      </c>
      <c r="S64" s="146">
        <f t="shared" si="32"/>
        <v>1</v>
      </c>
      <c r="T64" s="146">
        <f t="shared" si="32"/>
        <v>1</v>
      </c>
      <c r="U64" s="146">
        <f t="shared" si="32"/>
        <v>1</v>
      </c>
      <c r="V64" s="146">
        <f t="shared" si="32"/>
        <v>1</v>
      </c>
      <c r="W64" s="146">
        <f t="shared" si="32"/>
        <v>1</v>
      </c>
      <c r="X64" s="146">
        <f t="shared" si="32"/>
        <v>1</v>
      </c>
      <c r="Y64" s="146">
        <f t="shared" si="32"/>
        <v>1</v>
      </c>
      <c r="Z64" s="146">
        <f t="shared" si="32"/>
        <v>1</v>
      </c>
      <c r="AA64" s="146">
        <f t="shared" si="32"/>
        <v>1</v>
      </c>
      <c r="AB64" s="657">
        <f t="shared" si="32"/>
        <v>1</v>
      </c>
      <c r="AC64" s="146">
        <f t="shared" si="32"/>
        <v>1</v>
      </c>
    </row>
    <row r="65" spans="1:29" x14ac:dyDescent="0.2">
      <c r="A65" s="36" t="str">
        <f t="shared" si="29"/>
        <v>≥ Level 3 Pilots</v>
      </c>
      <c r="B65" s="146">
        <f t="shared" ref="B65:AC65" si="33">IF($B114 = "NA","NA",ROUNDUP(IF(B$13="Deploy",MAX((B$104/100)*$B114,$B114),(B$104/100)*$B114),0))</f>
        <v>1</v>
      </c>
      <c r="C65" s="146">
        <f t="shared" si="33"/>
        <v>1</v>
      </c>
      <c r="D65" s="146">
        <f t="shared" si="33"/>
        <v>1</v>
      </c>
      <c r="E65" s="146">
        <f t="shared" si="33"/>
        <v>1</v>
      </c>
      <c r="F65" s="146">
        <f t="shared" si="33"/>
        <v>1</v>
      </c>
      <c r="G65" s="146">
        <f t="shared" si="33"/>
        <v>1</v>
      </c>
      <c r="H65" s="146">
        <f t="shared" si="33"/>
        <v>1</v>
      </c>
      <c r="I65" s="146">
        <f t="shared" si="33"/>
        <v>2</v>
      </c>
      <c r="J65" s="146">
        <f t="shared" si="33"/>
        <v>2</v>
      </c>
      <c r="K65" s="146">
        <f t="shared" si="33"/>
        <v>2</v>
      </c>
      <c r="L65" s="146">
        <f t="shared" si="33"/>
        <v>2</v>
      </c>
      <c r="M65" s="146">
        <f t="shared" si="33"/>
        <v>2</v>
      </c>
      <c r="N65" s="146">
        <f t="shared" si="33"/>
        <v>2</v>
      </c>
      <c r="O65" s="146">
        <f t="shared" si="33"/>
        <v>2</v>
      </c>
      <c r="P65" s="146">
        <f t="shared" si="33"/>
        <v>2</v>
      </c>
      <c r="Q65" s="146">
        <f t="shared" si="33"/>
        <v>2</v>
      </c>
      <c r="R65" s="146">
        <f t="shared" si="33"/>
        <v>2</v>
      </c>
      <c r="S65" s="146">
        <f t="shared" si="33"/>
        <v>2</v>
      </c>
      <c r="T65" s="146">
        <f t="shared" si="33"/>
        <v>2</v>
      </c>
      <c r="U65" s="146">
        <f t="shared" si="33"/>
        <v>2</v>
      </c>
      <c r="V65" s="146">
        <f t="shared" si="33"/>
        <v>2</v>
      </c>
      <c r="W65" s="146">
        <f t="shared" si="33"/>
        <v>2</v>
      </c>
      <c r="X65" s="146">
        <f t="shared" si="33"/>
        <v>2</v>
      </c>
      <c r="Y65" s="146">
        <f t="shared" si="33"/>
        <v>2</v>
      </c>
      <c r="Z65" s="146">
        <f t="shared" si="33"/>
        <v>2</v>
      </c>
      <c r="AA65" s="146">
        <f t="shared" si="33"/>
        <v>2</v>
      </c>
      <c r="AB65" s="657">
        <f t="shared" si="33"/>
        <v>2</v>
      </c>
      <c r="AC65" s="146">
        <f t="shared" si="33"/>
        <v>1</v>
      </c>
    </row>
    <row r="66" spans="1:29" x14ac:dyDescent="0.2">
      <c r="A66" s="36" t="str">
        <f t="shared" si="29"/>
        <v>≥ Level 2 Pilots</v>
      </c>
      <c r="B66" s="146">
        <f t="shared" ref="B66:AC66" si="34">IF($B115 = "NA","NA",ROUNDUP(IF(B$13="Deploy",MAX((B$104/100)*$B115,$B115),(B$104/100)*$B115),0))</f>
        <v>2</v>
      </c>
      <c r="C66" s="146">
        <f t="shared" si="34"/>
        <v>2</v>
      </c>
      <c r="D66" s="146">
        <f t="shared" si="34"/>
        <v>2</v>
      </c>
      <c r="E66" s="146">
        <f t="shared" si="34"/>
        <v>2</v>
      </c>
      <c r="F66" s="146">
        <f t="shared" si="34"/>
        <v>2</v>
      </c>
      <c r="G66" s="146">
        <f t="shared" si="34"/>
        <v>2</v>
      </c>
      <c r="H66" s="146">
        <f t="shared" si="34"/>
        <v>2</v>
      </c>
      <c r="I66" s="146">
        <f t="shared" si="34"/>
        <v>3</v>
      </c>
      <c r="J66" s="146">
        <f t="shared" si="34"/>
        <v>3</v>
      </c>
      <c r="K66" s="146">
        <f t="shared" si="34"/>
        <v>3</v>
      </c>
      <c r="L66" s="146">
        <f t="shared" si="34"/>
        <v>3</v>
      </c>
      <c r="M66" s="146">
        <f t="shared" si="34"/>
        <v>4</v>
      </c>
      <c r="N66" s="146">
        <f t="shared" si="34"/>
        <v>4</v>
      </c>
      <c r="O66" s="146">
        <f t="shared" si="34"/>
        <v>4</v>
      </c>
      <c r="P66" s="146">
        <f t="shared" si="34"/>
        <v>4</v>
      </c>
      <c r="Q66" s="146">
        <f t="shared" si="34"/>
        <v>4</v>
      </c>
      <c r="R66" s="146">
        <f t="shared" si="34"/>
        <v>4</v>
      </c>
      <c r="S66" s="146">
        <f t="shared" si="34"/>
        <v>4</v>
      </c>
      <c r="T66" s="146">
        <f t="shared" si="34"/>
        <v>4</v>
      </c>
      <c r="U66" s="146">
        <f t="shared" si="34"/>
        <v>4</v>
      </c>
      <c r="V66" s="146">
        <f t="shared" si="34"/>
        <v>4</v>
      </c>
      <c r="W66" s="146">
        <f t="shared" si="34"/>
        <v>4</v>
      </c>
      <c r="X66" s="146">
        <f t="shared" si="34"/>
        <v>4</v>
      </c>
      <c r="Y66" s="146">
        <f t="shared" si="34"/>
        <v>4</v>
      </c>
      <c r="Z66" s="146">
        <f t="shared" si="34"/>
        <v>4</v>
      </c>
      <c r="AA66" s="146">
        <f t="shared" si="34"/>
        <v>4</v>
      </c>
      <c r="AB66" s="657">
        <f t="shared" si="34"/>
        <v>4</v>
      </c>
      <c r="AC66" s="146">
        <f t="shared" si="34"/>
        <v>2</v>
      </c>
    </row>
    <row r="67" spans="1:29" x14ac:dyDescent="0.2">
      <c r="A67" s="36" t="str">
        <f t="shared" si="29"/>
        <v>≥ Level 1 Pilots</v>
      </c>
      <c r="B67" s="146">
        <f t="shared" ref="B67:AC67" si="35">IF($B116 = "NA","NA",ROUNDUP(IF(B$13="Deploy",MAX((B$104/100)*$B116,$B116),(B$104/100)*$B116),0))</f>
        <v>4</v>
      </c>
      <c r="C67" s="146">
        <f t="shared" si="35"/>
        <v>4</v>
      </c>
      <c r="D67" s="146">
        <f t="shared" si="35"/>
        <v>4</v>
      </c>
      <c r="E67" s="146">
        <f t="shared" si="35"/>
        <v>4</v>
      </c>
      <c r="F67" s="146">
        <f t="shared" si="35"/>
        <v>4</v>
      </c>
      <c r="G67" s="146">
        <f t="shared" si="35"/>
        <v>4</v>
      </c>
      <c r="H67" s="146">
        <f t="shared" si="35"/>
        <v>5</v>
      </c>
      <c r="I67" s="146">
        <f t="shared" si="35"/>
        <v>5</v>
      </c>
      <c r="J67" s="146">
        <f t="shared" si="35"/>
        <v>6</v>
      </c>
      <c r="K67" s="146">
        <f t="shared" si="35"/>
        <v>6</v>
      </c>
      <c r="L67" s="146">
        <f t="shared" si="35"/>
        <v>7</v>
      </c>
      <c r="M67" s="146">
        <f t="shared" si="35"/>
        <v>8</v>
      </c>
      <c r="N67" s="146">
        <f t="shared" si="35"/>
        <v>8</v>
      </c>
      <c r="O67" s="146">
        <f t="shared" si="35"/>
        <v>8</v>
      </c>
      <c r="P67" s="146">
        <f t="shared" si="35"/>
        <v>8</v>
      </c>
      <c r="Q67" s="146">
        <f t="shared" si="35"/>
        <v>8</v>
      </c>
      <c r="R67" s="146">
        <f t="shared" si="35"/>
        <v>9</v>
      </c>
      <c r="S67" s="146">
        <f t="shared" si="35"/>
        <v>9</v>
      </c>
      <c r="T67" s="146">
        <f t="shared" si="35"/>
        <v>9</v>
      </c>
      <c r="U67" s="146">
        <f t="shared" si="35"/>
        <v>9</v>
      </c>
      <c r="V67" s="146">
        <f t="shared" si="35"/>
        <v>9</v>
      </c>
      <c r="W67" s="146">
        <f t="shared" si="35"/>
        <v>9</v>
      </c>
      <c r="X67" s="146">
        <f t="shared" si="35"/>
        <v>9</v>
      </c>
      <c r="Y67" s="146">
        <f t="shared" si="35"/>
        <v>9</v>
      </c>
      <c r="Z67" s="146">
        <f t="shared" si="35"/>
        <v>8</v>
      </c>
      <c r="AA67" s="146">
        <f t="shared" si="35"/>
        <v>8</v>
      </c>
      <c r="AB67" s="657">
        <f t="shared" si="35"/>
        <v>8</v>
      </c>
      <c r="AC67" s="146">
        <f t="shared" si="35"/>
        <v>3</v>
      </c>
    </row>
    <row r="68" spans="1:29" x14ac:dyDescent="0.2">
      <c r="A68" s="36" t="str">
        <f t="shared" si="29"/>
        <v>≥ PR/SOF 4 Pilots</v>
      </c>
      <c r="B68" s="146">
        <f t="shared" ref="B68:AC68" si="36">IF($B117 = "NA","NA",ROUNDUP(IF(B$13="Deploy",MAX((B$104/100)*$B117,$B117),(B$104/100)*$B117),0))</f>
        <v>1</v>
      </c>
      <c r="C68" s="146">
        <f t="shared" si="36"/>
        <v>1</v>
      </c>
      <c r="D68" s="146">
        <f t="shared" si="36"/>
        <v>1</v>
      </c>
      <c r="E68" s="146">
        <f t="shared" si="36"/>
        <v>1</v>
      </c>
      <c r="F68" s="146">
        <f t="shared" si="36"/>
        <v>1</v>
      </c>
      <c r="G68" s="146">
        <f t="shared" si="36"/>
        <v>1</v>
      </c>
      <c r="H68" s="146">
        <f t="shared" si="36"/>
        <v>1</v>
      </c>
      <c r="I68" s="146">
        <f t="shared" si="36"/>
        <v>1</v>
      </c>
      <c r="J68" s="146">
        <f t="shared" si="36"/>
        <v>1</v>
      </c>
      <c r="K68" s="146">
        <f t="shared" si="36"/>
        <v>1</v>
      </c>
      <c r="L68" s="146">
        <f t="shared" si="36"/>
        <v>1</v>
      </c>
      <c r="M68" s="146">
        <f t="shared" si="36"/>
        <v>1</v>
      </c>
      <c r="N68" s="146">
        <f t="shared" si="36"/>
        <v>1</v>
      </c>
      <c r="O68" s="146">
        <f t="shared" si="36"/>
        <v>1</v>
      </c>
      <c r="P68" s="146">
        <f t="shared" si="36"/>
        <v>1</v>
      </c>
      <c r="Q68" s="146">
        <f t="shared" si="36"/>
        <v>1</v>
      </c>
      <c r="R68" s="146">
        <f t="shared" si="36"/>
        <v>1</v>
      </c>
      <c r="S68" s="146">
        <f t="shared" si="36"/>
        <v>1</v>
      </c>
      <c r="T68" s="146">
        <f t="shared" si="36"/>
        <v>1</v>
      </c>
      <c r="U68" s="146">
        <f t="shared" si="36"/>
        <v>1</v>
      </c>
      <c r="V68" s="146">
        <f t="shared" si="36"/>
        <v>1</v>
      </c>
      <c r="W68" s="146">
        <f t="shared" si="36"/>
        <v>1</v>
      </c>
      <c r="X68" s="146">
        <f t="shared" si="36"/>
        <v>1</v>
      </c>
      <c r="Y68" s="146">
        <f t="shared" si="36"/>
        <v>1</v>
      </c>
      <c r="Z68" s="146">
        <f t="shared" si="36"/>
        <v>1</v>
      </c>
      <c r="AA68" s="146">
        <f t="shared" si="36"/>
        <v>1</v>
      </c>
      <c r="AB68" s="657">
        <f t="shared" si="36"/>
        <v>1</v>
      </c>
      <c r="AC68" s="146">
        <f t="shared" si="36"/>
        <v>1</v>
      </c>
    </row>
    <row r="69" spans="1:29" x14ac:dyDescent="0.2">
      <c r="A69" s="36" t="str">
        <f t="shared" si="29"/>
        <v>≥ PR/SOF 3 Pilots</v>
      </c>
      <c r="B69" s="146">
        <f t="shared" ref="B69:AC69" si="37">IF($B118 = "NA","NA",ROUNDUP(IF(B$13="Deploy",MAX((B$104/100)*$B118,$B118),(B$104/100)*$B118),0))</f>
        <v>1</v>
      </c>
      <c r="C69" s="146">
        <f t="shared" si="37"/>
        <v>1</v>
      </c>
      <c r="D69" s="146">
        <f t="shared" si="37"/>
        <v>1</v>
      </c>
      <c r="E69" s="146">
        <f t="shared" si="37"/>
        <v>1</v>
      </c>
      <c r="F69" s="146">
        <f t="shared" si="37"/>
        <v>1</v>
      </c>
      <c r="G69" s="146">
        <f t="shared" si="37"/>
        <v>1</v>
      </c>
      <c r="H69" s="146">
        <f t="shared" si="37"/>
        <v>1</v>
      </c>
      <c r="I69" s="146">
        <f t="shared" si="37"/>
        <v>1</v>
      </c>
      <c r="J69" s="146">
        <f t="shared" si="37"/>
        <v>1</v>
      </c>
      <c r="K69" s="146">
        <f t="shared" si="37"/>
        <v>1</v>
      </c>
      <c r="L69" s="146">
        <f t="shared" si="37"/>
        <v>1</v>
      </c>
      <c r="M69" s="146">
        <f t="shared" si="37"/>
        <v>1</v>
      </c>
      <c r="N69" s="146">
        <f t="shared" si="37"/>
        <v>1</v>
      </c>
      <c r="O69" s="146">
        <f t="shared" si="37"/>
        <v>1</v>
      </c>
      <c r="P69" s="146">
        <f t="shared" si="37"/>
        <v>1</v>
      </c>
      <c r="Q69" s="146">
        <f t="shared" si="37"/>
        <v>1</v>
      </c>
      <c r="R69" s="146">
        <f t="shared" si="37"/>
        <v>1</v>
      </c>
      <c r="S69" s="146">
        <f t="shared" si="37"/>
        <v>1</v>
      </c>
      <c r="T69" s="146">
        <f t="shared" si="37"/>
        <v>1</v>
      </c>
      <c r="U69" s="146">
        <f t="shared" si="37"/>
        <v>1</v>
      </c>
      <c r="V69" s="146">
        <f t="shared" si="37"/>
        <v>1</v>
      </c>
      <c r="W69" s="146">
        <f t="shared" si="37"/>
        <v>1</v>
      </c>
      <c r="X69" s="146">
        <f t="shared" si="37"/>
        <v>1</v>
      </c>
      <c r="Y69" s="146">
        <f t="shared" si="37"/>
        <v>1</v>
      </c>
      <c r="Z69" s="146">
        <f t="shared" si="37"/>
        <v>1</v>
      </c>
      <c r="AA69" s="146">
        <f t="shared" si="37"/>
        <v>1</v>
      </c>
      <c r="AB69" s="657">
        <f t="shared" si="37"/>
        <v>1</v>
      </c>
      <c r="AC69" s="146">
        <f t="shared" si="37"/>
        <v>1</v>
      </c>
    </row>
    <row r="70" spans="1:29" x14ac:dyDescent="0.2">
      <c r="A70" s="36" t="str">
        <f t="shared" si="29"/>
        <v>≥ PR/SOF 2 Pilots</v>
      </c>
      <c r="B70" s="146">
        <f t="shared" ref="B70:AC70" si="38">IF($B119 = "NA","NA",ROUNDUP(IF(B$13="Deploy",MAX((B$104/100)*$B119,$B119),(B$104/100)*$B119),0))</f>
        <v>1</v>
      </c>
      <c r="C70" s="146">
        <f t="shared" si="38"/>
        <v>1</v>
      </c>
      <c r="D70" s="146">
        <f t="shared" si="38"/>
        <v>1</v>
      </c>
      <c r="E70" s="146">
        <f t="shared" si="38"/>
        <v>1</v>
      </c>
      <c r="F70" s="146">
        <f t="shared" si="38"/>
        <v>1</v>
      </c>
      <c r="G70" s="146">
        <f t="shared" si="38"/>
        <v>1</v>
      </c>
      <c r="H70" s="146">
        <f t="shared" si="38"/>
        <v>1</v>
      </c>
      <c r="I70" s="146">
        <f t="shared" si="38"/>
        <v>2</v>
      </c>
      <c r="J70" s="146">
        <f t="shared" si="38"/>
        <v>2</v>
      </c>
      <c r="K70" s="146">
        <f t="shared" si="38"/>
        <v>2</v>
      </c>
      <c r="L70" s="146">
        <f t="shared" si="38"/>
        <v>2</v>
      </c>
      <c r="M70" s="146">
        <f t="shared" si="38"/>
        <v>2</v>
      </c>
      <c r="N70" s="146">
        <f t="shared" si="38"/>
        <v>2</v>
      </c>
      <c r="O70" s="146">
        <f t="shared" si="38"/>
        <v>2</v>
      </c>
      <c r="P70" s="146">
        <f t="shared" si="38"/>
        <v>2</v>
      </c>
      <c r="Q70" s="146">
        <f t="shared" si="38"/>
        <v>2</v>
      </c>
      <c r="R70" s="146">
        <f t="shared" si="38"/>
        <v>2</v>
      </c>
      <c r="S70" s="146">
        <f t="shared" si="38"/>
        <v>2</v>
      </c>
      <c r="T70" s="146">
        <f t="shared" si="38"/>
        <v>2</v>
      </c>
      <c r="U70" s="146">
        <f t="shared" si="38"/>
        <v>2</v>
      </c>
      <c r="V70" s="146">
        <f t="shared" si="38"/>
        <v>2</v>
      </c>
      <c r="W70" s="146">
        <f t="shared" si="38"/>
        <v>2</v>
      </c>
      <c r="X70" s="146">
        <f t="shared" si="38"/>
        <v>2</v>
      </c>
      <c r="Y70" s="146">
        <f t="shared" si="38"/>
        <v>2</v>
      </c>
      <c r="Z70" s="146">
        <f t="shared" si="38"/>
        <v>2</v>
      </c>
      <c r="AA70" s="146">
        <f t="shared" si="38"/>
        <v>2</v>
      </c>
      <c r="AB70" s="657">
        <f t="shared" si="38"/>
        <v>2</v>
      </c>
      <c r="AC70" s="146">
        <f t="shared" si="38"/>
        <v>1</v>
      </c>
    </row>
    <row r="71" spans="1:29" x14ac:dyDescent="0.2">
      <c r="A71" s="36" t="str">
        <f t="shared" si="29"/>
        <v>≥ PR/SOF 1 Pilots</v>
      </c>
      <c r="B71" s="146">
        <f t="shared" ref="B71:AC71" si="39">IF($B120 = "NA","NA",ROUNDUP(IF(B$13="Deploy",MAX((B$104/100)*$B120,$B120),(B$104/100)*$B120),0))</f>
        <v>1</v>
      </c>
      <c r="C71" s="146">
        <f t="shared" si="39"/>
        <v>1</v>
      </c>
      <c r="D71" s="146">
        <f t="shared" si="39"/>
        <v>1</v>
      </c>
      <c r="E71" s="146">
        <f t="shared" si="39"/>
        <v>1</v>
      </c>
      <c r="F71" s="146">
        <f t="shared" si="39"/>
        <v>1</v>
      </c>
      <c r="G71" s="146">
        <f t="shared" si="39"/>
        <v>1</v>
      </c>
      <c r="H71" s="146">
        <f t="shared" si="39"/>
        <v>1</v>
      </c>
      <c r="I71" s="146">
        <f t="shared" si="39"/>
        <v>2</v>
      </c>
      <c r="J71" s="146">
        <f t="shared" si="39"/>
        <v>2</v>
      </c>
      <c r="K71" s="146">
        <f t="shared" si="39"/>
        <v>2</v>
      </c>
      <c r="L71" s="146">
        <f t="shared" si="39"/>
        <v>2</v>
      </c>
      <c r="M71" s="146">
        <f t="shared" si="39"/>
        <v>2</v>
      </c>
      <c r="N71" s="146">
        <f t="shared" si="39"/>
        <v>2</v>
      </c>
      <c r="O71" s="146">
        <f t="shared" si="39"/>
        <v>2</v>
      </c>
      <c r="P71" s="146">
        <f t="shared" si="39"/>
        <v>2</v>
      </c>
      <c r="Q71" s="146">
        <f t="shared" si="39"/>
        <v>2</v>
      </c>
      <c r="R71" s="146">
        <f t="shared" si="39"/>
        <v>2</v>
      </c>
      <c r="S71" s="146">
        <f t="shared" si="39"/>
        <v>2</v>
      </c>
      <c r="T71" s="146">
        <f t="shared" si="39"/>
        <v>2</v>
      </c>
      <c r="U71" s="146">
        <f t="shared" si="39"/>
        <v>2</v>
      </c>
      <c r="V71" s="146">
        <f t="shared" si="39"/>
        <v>2</v>
      </c>
      <c r="W71" s="146">
        <f t="shared" si="39"/>
        <v>2</v>
      </c>
      <c r="X71" s="146">
        <f t="shared" si="39"/>
        <v>2</v>
      </c>
      <c r="Y71" s="146">
        <f t="shared" si="39"/>
        <v>2</v>
      </c>
      <c r="Z71" s="146">
        <f t="shared" si="39"/>
        <v>2</v>
      </c>
      <c r="AA71" s="146">
        <f t="shared" si="39"/>
        <v>2</v>
      </c>
      <c r="AB71" s="657">
        <f t="shared" si="39"/>
        <v>2</v>
      </c>
      <c r="AC71" s="146">
        <f t="shared" si="39"/>
        <v>1</v>
      </c>
    </row>
    <row r="72" spans="1:29" x14ac:dyDescent="0.2">
      <c r="A72" s="36" t="str">
        <f t="shared" si="29"/>
        <v>≥ MIW Level 2 Pilots</v>
      </c>
      <c r="B72" s="146" t="str">
        <f t="shared" ref="B72:AC72" si="40">IF($B121 = "NA","NA",ROUNDUP(IF(B$13="Deploy",MAX((B$104/100)*$B121,$B121),(B$104/100)*$B121),0))</f>
        <v>NA</v>
      </c>
      <c r="C72" s="146" t="str">
        <f t="shared" si="40"/>
        <v>NA</v>
      </c>
      <c r="D72" s="146" t="str">
        <f t="shared" si="40"/>
        <v>NA</v>
      </c>
      <c r="E72" s="146" t="str">
        <f t="shared" si="40"/>
        <v>NA</v>
      </c>
      <c r="F72" s="146" t="str">
        <f t="shared" si="40"/>
        <v>NA</v>
      </c>
      <c r="G72" s="146" t="str">
        <f t="shared" si="40"/>
        <v>NA</v>
      </c>
      <c r="H72" s="146" t="str">
        <f t="shared" si="40"/>
        <v>NA</v>
      </c>
      <c r="I72" s="146" t="str">
        <f t="shared" si="40"/>
        <v>NA</v>
      </c>
      <c r="J72" s="146" t="str">
        <f t="shared" si="40"/>
        <v>NA</v>
      </c>
      <c r="K72" s="146" t="str">
        <f t="shared" si="40"/>
        <v>NA</v>
      </c>
      <c r="L72" s="146" t="str">
        <f t="shared" si="40"/>
        <v>NA</v>
      </c>
      <c r="M72" s="146" t="str">
        <f t="shared" si="40"/>
        <v>NA</v>
      </c>
      <c r="N72" s="146" t="str">
        <f t="shared" si="40"/>
        <v>NA</v>
      </c>
      <c r="O72" s="146" t="str">
        <f t="shared" si="40"/>
        <v>NA</v>
      </c>
      <c r="P72" s="146" t="str">
        <f t="shared" si="40"/>
        <v>NA</v>
      </c>
      <c r="Q72" s="146" t="str">
        <f t="shared" si="40"/>
        <v>NA</v>
      </c>
      <c r="R72" s="146" t="str">
        <f t="shared" si="40"/>
        <v>NA</v>
      </c>
      <c r="S72" s="146" t="str">
        <f t="shared" si="40"/>
        <v>NA</v>
      </c>
      <c r="T72" s="146" t="str">
        <f t="shared" si="40"/>
        <v>NA</v>
      </c>
      <c r="U72" s="146" t="str">
        <f t="shared" si="40"/>
        <v>NA</v>
      </c>
      <c r="V72" s="146" t="str">
        <f t="shared" si="40"/>
        <v>NA</v>
      </c>
      <c r="W72" s="146" t="str">
        <f t="shared" si="40"/>
        <v>NA</v>
      </c>
      <c r="X72" s="146" t="str">
        <f t="shared" si="40"/>
        <v>NA</v>
      </c>
      <c r="Y72" s="146" t="str">
        <f t="shared" si="40"/>
        <v>NA</v>
      </c>
      <c r="Z72" s="146" t="str">
        <f t="shared" si="40"/>
        <v>NA</v>
      </c>
      <c r="AA72" s="146" t="str">
        <f t="shared" si="40"/>
        <v>NA</v>
      </c>
      <c r="AB72" s="657" t="str">
        <f t="shared" si="40"/>
        <v>NA</v>
      </c>
      <c r="AC72" s="146" t="str">
        <f t="shared" si="40"/>
        <v>NA</v>
      </c>
    </row>
    <row r="73" spans="1:29" x14ac:dyDescent="0.2">
      <c r="A73" s="36" t="str">
        <f t="shared" si="29"/>
        <v>≥ MIW Level 1 Pilots</v>
      </c>
      <c r="B73" s="146" t="str">
        <f t="shared" ref="B73:AC73" si="41">IF($B122 = "NA","NA",ROUNDUP(IF(B$13="Deploy",MAX((B$104/100)*$B122,$B122),(B$104/100)*$B122),0))</f>
        <v>NA</v>
      </c>
      <c r="C73" s="146" t="str">
        <f t="shared" si="41"/>
        <v>NA</v>
      </c>
      <c r="D73" s="146" t="str">
        <f t="shared" si="41"/>
        <v>NA</v>
      </c>
      <c r="E73" s="146" t="str">
        <f t="shared" si="41"/>
        <v>NA</v>
      </c>
      <c r="F73" s="146" t="str">
        <f t="shared" si="41"/>
        <v>NA</v>
      </c>
      <c r="G73" s="146" t="str">
        <f t="shared" si="41"/>
        <v>NA</v>
      </c>
      <c r="H73" s="146" t="str">
        <f t="shared" si="41"/>
        <v>NA</v>
      </c>
      <c r="I73" s="146" t="str">
        <f t="shared" si="41"/>
        <v>NA</v>
      </c>
      <c r="J73" s="146" t="str">
        <f t="shared" si="41"/>
        <v>NA</v>
      </c>
      <c r="K73" s="146" t="str">
        <f t="shared" si="41"/>
        <v>NA</v>
      </c>
      <c r="L73" s="146" t="str">
        <f t="shared" si="41"/>
        <v>NA</v>
      </c>
      <c r="M73" s="146" t="str">
        <f t="shared" si="41"/>
        <v>NA</v>
      </c>
      <c r="N73" s="146" t="str">
        <f t="shared" si="41"/>
        <v>NA</v>
      </c>
      <c r="O73" s="146" t="str">
        <f t="shared" si="41"/>
        <v>NA</v>
      </c>
      <c r="P73" s="146" t="str">
        <f t="shared" si="41"/>
        <v>NA</v>
      </c>
      <c r="Q73" s="146" t="str">
        <f t="shared" si="41"/>
        <v>NA</v>
      </c>
      <c r="R73" s="146" t="str">
        <f t="shared" si="41"/>
        <v>NA</v>
      </c>
      <c r="S73" s="146" t="str">
        <f t="shared" si="41"/>
        <v>NA</v>
      </c>
      <c r="T73" s="146" t="str">
        <f t="shared" si="41"/>
        <v>NA</v>
      </c>
      <c r="U73" s="146" t="str">
        <f t="shared" si="41"/>
        <v>NA</v>
      </c>
      <c r="V73" s="146" t="str">
        <f t="shared" si="41"/>
        <v>NA</v>
      </c>
      <c r="W73" s="146" t="str">
        <f t="shared" si="41"/>
        <v>NA</v>
      </c>
      <c r="X73" s="146" t="str">
        <f t="shared" si="41"/>
        <v>NA</v>
      </c>
      <c r="Y73" s="146" t="str">
        <f t="shared" si="41"/>
        <v>NA</v>
      </c>
      <c r="Z73" s="146" t="str">
        <f t="shared" si="41"/>
        <v>NA</v>
      </c>
      <c r="AA73" s="146" t="str">
        <f t="shared" si="41"/>
        <v>NA</v>
      </c>
      <c r="AB73" s="657" t="str">
        <f t="shared" si="41"/>
        <v>NA</v>
      </c>
      <c r="AC73" s="146" t="str">
        <f t="shared" si="41"/>
        <v>NA</v>
      </c>
    </row>
    <row r="74" spans="1:29" x14ac:dyDescent="0.2">
      <c r="A74" s="36" t="str">
        <f t="shared" si="29"/>
        <v>≥ TAC Level 4 Pilots</v>
      </c>
      <c r="B74" s="146" t="str">
        <f t="shared" ref="B74:AC74" si="42">IF($B123 = "NA","NA",ROUNDUP(IF(B$13="Deploy",MAX((B$104/100)*$B123,$B123),(B$104/100)*$B123),0))</f>
        <v>NA</v>
      </c>
      <c r="C74" s="146" t="str">
        <f t="shared" si="42"/>
        <v>NA</v>
      </c>
      <c r="D74" s="146" t="str">
        <f t="shared" si="42"/>
        <v>NA</v>
      </c>
      <c r="E74" s="146" t="str">
        <f t="shared" si="42"/>
        <v>NA</v>
      </c>
      <c r="F74" s="146" t="str">
        <f t="shared" si="42"/>
        <v>NA</v>
      </c>
      <c r="G74" s="146" t="str">
        <f t="shared" si="42"/>
        <v>NA</v>
      </c>
      <c r="H74" s="146" t="str">
        <f t="shared" si="42"/>
        <v>NA</v>
      </c>
      <c r="I74" s="146" t="str">
        <f t="shared" si="42"/>
        <v>NA</v>
      </c>
      <c r="J74" s="146" t="str">
        <f t="shared" si="42"/>
        <v>NA</v>
      </c>
      <c r="K74" s="146" t="str">
        <f t="shared" si="42"/>
        <v>NA</v>
      </c>
      <c r="L74" s="146" t="str">
        <f t="shared" si="42"/>
        <v>NA</v>
      </c>
      <c r="M74" s="146" t="str">
        <f t="shared" si="42"/>
        <v>NA</v>
      </c>
      <c r="N74" s="146" t="str">
        <f t="shared" si="42"/>
        <v>NA</v>
      </c>
      <c r="O74" s="146" t="str">
        <f t="shared" si="42"/>
        <v>NA</v>
      </c>
      <c r="P74" s="146" t="str">
        <f t="shared" si="42"/>
        <v>NA</v>
      </c>
      <c r="Q74" s="146" t="str">
        <f t="shared" si="42"/>
        <v>NA</v>
      </c>
      <c r="R74" s="146" t="str">
        <f t="shared" si="42"/>
        <v>NA</v>
      </c>
      <c r="S74" s="146" t="str">
        <f t="shared" si="42"/>
        <v>NA</v>
      </c>
      <c r="T74" s="146" t="str">
        <f t="shared" si="42"/>
        <v>NA</v>
      </c>
      <c r="U74" s="146" t="str">
        <f t="shared" si="42"/>
        <v>NA</v>
      </c>
      <c r="V74" s="146" t="str">
        <f t="shared" si="42"/>
        <v>NA</v>
      </c>
      <c r="W74" s="146" t="str">
        <f t="shared" si="42"/>
        <v>NA</v>
      </c>
      <c r="X74" s="146" t="str">
        <f t="shared" si="42"/>
        <v>NA</v>
      </c>
      <c r="Y74" s="146" t="str">
        <f t="shared" si="42"/>
        <v>NA</v>
      </c>
      <c r="Z74" s="146" t="str">
        <f t="shared" si="42"/>
        <v>NA</v>
      </c>
      <c r="AA74" s="146" t="str">
        <f t="shared" si="42"/>
        <v>NA</v>
      </c>
      <c r="AB74" s="657" t="str">
        <f t="shared" si="42"/>
        <v>NA</v>
      </c>
      <c r="AC74" s="146" t="str">
        <f t="shared" si="42"/>
        <v>NA</v>
      </c>
    </row>
    <row r="75" spans="1:29" x14ac:dyDescent="0.2">
      <c r="A75" s="36" t="str">
        <f t="shared" si="29"/>
        <v>≥ TAC Level 3 Pilots</v>
      </c>
      <c r="B75" s="146" t="str">
        <f t="shared" ref="B75:AC75" si="43">IF($B124 = "NA","NA",ROUNDUP(IF(B$13="Deploy",MAX((B$104/100)*$B124,$B124),(B$104/100)*$B124),0))</f>
        <v>NA</v>
      </c>
      <c r="C75" s="146" t="str">
        <f t="shared" si="43"/>
        <v>NA</v>
      </c>
      <c r="D75" s="146" t="str">
        <f t="shared" si="43"/>
        <v>NA</v>
      </c>
      <c r="E75" s="146" t="str">
        <f t="shared" si="43"/>
        <v>NA</v>
      </c>
      <c r="F75" s="146" t="str">
        <f t="shared" si="43"/>
        <v>NA</v>
      </c>
      <c r="G75" s="146" t="str">
        <f t="shared" si="43"/>
        <v>NA</v>
      </c>
      <c r="H75" s="146" t="str">
        <f t="shared" si="43"/>
        <v>NA</v>
      </c>
      <c r="I75" s="146" t="str">
        <f t="shared" si="43"/>
        <v>NA</v>
      </c>
      <c r="J75" s="146" t="str">
        <f t="shared" si="43"/>
        <v>NA</v>
      </c>
      <c r="K75" s="146" t="str">
        <f t="shared" si="43"/>
        <v>NA</v>
      </c>
      <c r="L75" s="146" t="str">
        <f t="shared" si="43"/>
        <v>NA</v>
      </c>
      <c r="M75" s="146" t="str">
        <f t="shared" si="43"/>
        <v>NA</v>
      </c>
      <c r="N75" s="146" t="str">
        <f t="shared" si="43"/>
        <v>NA</v>
      </c>
      <c r="O75" s="146" t="str">
        <f t="shared" si="43"/>
        <v>NA</v>
      </c>
      <c r="P75" s="146" t="str">
        <f t="shared" si="43"/>
        <v>NA</v>
      </c>
      <c r="Q75" s="146" t="str">
        <f t="shared" si="43"/>
        <v>NA</v>
      </c>
      <c r="R75" s="146" t="str">
        <f t="shared" si="43"/>
        <v>NA</v>
      </c>
      <c r="S75" s="146" t="str">
        <f t="shared" si="43"/>
        <v>NA</v>
      </c>
      <c r="T75" s="146" t="str">
        <f t="shared" si="43"/>
        <v>NA</v>
      </c>
      <c r="U75" s="146" t="str">
        <f t="shared" si="43"/>
        <v>NA</v>
      </c>
      <c r="V75" s="146" t="str">
        <f t="shared" si="43"/>
        <v>NA</v>
      </c>
      <c r="W75" s="146" t="str">
        <f t="shared" si="43"/>
        <v>NA</v>
      </c>
      <c r="X75" s="146" t="str">
        <f t="shared" si="43"/>
        <v>NA</v>
      </c>
      <c r="Y75" s="146" t="str">
        <f t="shared" si="43"/>
        <v>NA</v>
      </c>
      <c r="Z75" s="146" t="str">
        <f t="shared" si="43"/>
        <v>NA</v>
      </c>
      <c r="AA75" s="146" t="str">
        <f t="shared" si="43"/>
        <v>NA</v>
      </c>
      <c r="AB75" s="657" t="str">
        <f t="shared" si="43"/>
        <v>NA</v>
      </c>
      <c r="AC75" s="146" t="str">
        <f t="shared" si="43"/>
        <v>NA</v>
      </c>
    </row>
    <row r="76" spans="1:29" x14ac:dyDescent="0.2">
      <c r="A76" s="36" t="str">
        <f t="shared" si="29"/>
        <v>≥ TAC Level 2 Pilots</v>
      </c>
      <c r="B76" s="146" t="str">
        <f t="shared" ref="B76:AC76" si="44">IF($B125 = "NA","NA",ROUNDUP(IF(B$13="Deploy",MAX((B$104/100)*$B125,$B125),(B$104/100)*$B125),0))</f>
        <v>NA</v>
      </c>
      <c r="C76" s="146" t="str">
        <f t="shared" si="44"/>
        <v>NA</v>
      </c>
      <c r="D76" s="146" t="str">
        <f t="shared" si="44"/>
        <v>NA</v>
      </c>
      <c r="E76" s="146" t="str">
        <f t="shared" si="44"/>
        <v>NA</v>
      </c>
      <c r="F76" s="146" t="str">
        <f t="shared" si="44"/>
        <v>NA</v>
      </c>
      <c r="G76" s="146" t="str">
        <f t="shared" si="44"/>
        <v>NA</v>
      </c>
      <c r="H76" s="146" t="str">
        <f t="shared" si="44"/>
        <v>NA</v>
      </c>
      <c r="I76" s="146" t="str">
        <f t="shared" si="44"/>
        <v>NA</v>
      </c>
      <c r="J76" s="146" t="str">
        <f t="shared" si="44"/>
        <v>NA</v>
      </c>
      <c r="K76" s="146" t="str">
        <f t="shared" si="44"/>
        <v>NA</v>
      </c>
      <c r="L76" s="146" t="str">
        <f t="shared" si="44"/>
        <v>NA</v>
      </c>
      <c r="M76" s="146" t="str">
        <f t="shared" si="44"/>
        <v>NA</v>
      </c>
      <c r="N76" s="146" t="str">
        <f t="shared" si="44"/>
        <v>NA</v>
      </c>
      <c r="O76" s="146" t="str">
        <f t="shared" si="44"/>
        <v>NA</v>
      </c>
      <c r="P76" s="146" t="str">
        <f t="shared" si="44"/>
        <v>NA</v>
      </c>
      <c r="Q76" s="146" t="str">
        <f t="shared" si="44"/>
        <v>NA</v>
      </c>
      <c r="R76" s="146" t="str">
        <f t="shared" si="44"/>
        <v>NA</v>
      </c>
      <c r="S76" s="146" t="str">
        <f t="shared" si="44"/>
        <v>NA</v>
      </c>
      <c r="T76" s="146" t="str">
        <f t="shared" si="44"/>
        <v>NA</v>
      </c>
      <c r="U76" s="146" t="str">
        <f t="shared" si="44"/>
        <v>NA</v>
      </c>
      <c r="V76" s="146" t="str">
        <f t="shared" si="44"/>
        <v>NA</v>
      </c>
      <c r="W76" s="146" t="str">
        <f t="shared" si="44"/>
        <v>NA</v>
      </c>
      <c r="X76" s="146" t="str">
        <f t="shared" si="44"/>
        <v>NA</v>
      </c>
      <c r="Y76" s="146" t="str">
        <f t="shared" si="44"/>
        <v>NA</v>
      </c>
      <c r="Z76" s="146" t="str">
        <f t="shared" si="44"/>
        <v>NA</v>
      </c>
      <c r="AA76" s="146" t="str">
        <f t="shared" si="44"/>
        <v>NA</v>
      </c>
      <c r="AB76" s="657" t="str">
        <f t="shared" si="44"/>
        <v>NA</v>
      </c>
      <c r="AC76" s="146" t="str">
        <f t="shared" si="44"/>
        <v>NA</v>
      </c>
    </row>
    <row r="77" spans="1:29" x14ac:dyDescent="0.2">
      <c r="A77" s="36" t="str">
        <f t="shared" si="29"/>
        <v>Mountain Flying School Pilots</v>
      </c>
      <c r="B77" s="146">
        <f t="shared" ref="B77:AC77" si="45">IF($B126 = "NA","NA",ROUNDUP(IF(B$13="Deploy",MAX((B$104/100)*$B126,$B126),(B$104/100)*$B126),0))</f>
        <v>1</v>
      </c>
      <c r="C77" s="146">
        <f t="shared" si="45"/>
        <v>1</v>
      </c>
      <c r="D77" s="146">
        <f t="shared" si="45"/>
        <v>1</v>
      </c>
      <c r="E77" s="146">
        <f t="shared" si="45"/>
        <v>1</v>
      </c>
      <c r="F77" s="146">
        <f t="shared" si="45"/>
        <v>1</v>
      </c>
      <c r="G77" s="146">
        <f t="shared" si="45"/>
        <v>1</v>
      </c>
      <c r="H77" s="146">
        <f t="shared" si="45"/>
        <v>1</v>
      </c>
      <c r="I77" s="146">
        <f t="shared" si="45"/>
        <v>1</v>
      </c>
      <c r="J77" s="146">
        <f t="shared" si="45"/>
        <v>1</v>
      </c>
      <c r="K77" s="146">
        <f t="shared" si="45"/>
        <v>1</v>
      </c>
      <c r="L77" s="146">
        <f t="shared" si="45"/>
        <v>1</v>
      </c>
      <c r="M77" s="146">
        <f t="shared" si="45"/>
        <v>1</v>
      </c>
      <c r="N77" s="146">
        <f t="shared" si="45"/>
        <v>1</v>
      </c>
      <c r="O77" s="146">
        <f t="shared" si="45"/>
        <v>1</v>
      </c>
      <c r="P77" s="146">
        <f t="shared" si="45"/>
        <v>1</v>
      </c>
      <c r="Q77" s="146">
        <f t="shared" si="45"/>
        <v>1</v>
      </c>
      <c r="R77" s="146">
        <f t="shared" si="45"/>
        <v>1</v>
      </c>
      <c r="S77" s="146">
        <f t="shared" si="45"/>
        <v>1</v>
      </c>
      <c r="T77" s="146">
        <f t="shared" si="45"/>
        <v>1</v>
      </c>
      <c r="U77" s="146">
        <f t="shared" si="45"/>
        <v>1</v>
      </c>
      <c r="V77" s="146">
        <f t="shared" si="45"/>
        <v>1</v>
      </c>
      <c r="W77" s="146">
        <f t="shared" si="45"/>
        <v>1</v>
      </c>
      <c r="X77" s="146">
        <f t="shared" si="45"/>
        <v>1</v>
      </c>
      <c r="Y77" s="146">
        <f t="shared" si="45"/>
        <v>1</v>
      </c>
      <c r="Z77" s="146">
        <f t="shared" si="45"/>
        <v>1</v>
      </c>
      <c r="AA77" s="146">
        <f t="shared" si="45"/>
        <v>1</v>
      </c>
      <c r="AB77" s="657">
        <f t="shared" si="45"/>
        <v>1</v>
      </c>
      <c r="AC77" s="146">
        <f t="shared" si="45"/>
        <v>1</v>
      </c>
    </row>
    <row r="78" spans="1:29" x14ac:dyDescent="0.2">
      <c r="A78" s="36" t="str">
        <f t="shared" si="29"/>
        <v>Aircrew Upper Limit</v>
      </c>
      <c r="B78" s="146">
        <f>$B$127</f>
        <v>9</v>
      </c>
      <c r="C78" s="146">
        <f t="shared" ref="C78:AC78" si="46">$B$127</f>
        <v>9</v>
      </c>
      <c r="D78" s="146">
        <f t="shared" si="46"/>
        <v>9</v>
      </c>
      <c r="E78" s="146">
        <f t="shared" si="46"/>
        <v>9</v>
      </c>
      <c r="F78" s="146">
        <f t="shared" si="46"/>
        <v>9</v>
      </c>
      <c r="G78" s="146">
        <f t="shared" si="46"/>
        <v>9</v>
      </c>
      <c r="H78" s="146">
        <f t="shared" si="46"/>
        <v>9</v>
      </c>
      <c r="I78" s="146">
        <f t="shared" si="46"/>
        <v>9</v>
      </c>
      <c r="J78" s="146">
        <f t="shared" si="46"/>
        <v>9</v>
      </c>
      <c r="K78" s="146">
        <f t="shared" si="46"/>
        <v>9</v>
      </c>
      <c r="L78" s="146">
        <f t="shared" si="46"/>
        <v>9</v>
      </c>
      <c r="M78" s="146">
        <f t="shared" si="46"/>
        <v>9</v>
      </c>
      <c r="N78" s="146">
        <f t="shared" si="46"/>
        <v>9</v>
      </c>
      <c r="O78" s="146">
        <f t="shared" si="46"/>
        <v>9</v>
      </c>
      <c r="P78" s="146">
        <f t="shared" si="46"/>
        <v>9</v>
      </c>
      <c r="Q78" s="146">
        <f t="shared" si="46"/>
        <v>9</v>
      </c>
      <c r="R78" s="146">
        <f t="shared" si="46"/>
        <v>9</v>
      </c>
      <c r="S78" s="146">
        <f t="shared" si="46"/>
        <v>9</v>
      </c>
      <c r="T78" s="146">
        <f t="shared" si="46"/>
        <v>9</v>
      </c>
      <c r="U78" s="146">
        <f t="shared" si="46"/>
        <v>9</v>
      </c>
      <c r="V78" s="146">
        <f t="shared" si="46"/>
        <v>9</v>
      </c>
      <c r="W78" s="146">
        <f t="shared" si="46"/>
        <v>9</v>
      </c>
      <c r="X78" s="146">
        <f t="shared" si="46"/>
        <v>9</v>
      </c>
      <c r="Y78" s="146">
        <f t="shared" si="46"/>
        <v>9</v>
      </c>
      <c r="Z78" s="146">
        <f t="shared" si="46"/>
        <v>9</v>
      </c>
      <c r="AA78" s="146">
        <f t="shared" si="46"/>
        <v>9</v>
      </c>
      <c r="AB78" s="657">
        <f t="shared" si="46"/>
        <v>9</v>
      </c>
      <c r="AC78" s="146">
        <f t="shared" si="46"/>
        <v>9</v>
      </c>
    </row>
    <row r="79" spans="1:29" x14ac:dyDescent="0.2">
      <c r="A79" s="36" t="str">
        <f t="shared" si="29"/>
        <v>Aircrew Lower Limit</v>
      </c>
      <c r="B79" s="146">
        <f t="shared" ref="B79:AC79" si="47">IF($B128 = "NA","NA",ROUNDUP(IF(B$13="Deploy",MAX((B$104/100)*$B128,$B128),(B$104/100)*$B128),0))</f>
        <v>4</v>
      </c>
      <c r="C79" s="146">
        <f t="shared" si="47"/>
        <v>4</v>
      </c>
      <c r="D79" s="146">
        <f t="shared" si="47"/>
        <v>4</v>
      </c>
      <c r="E79" s="146">
        <f t="shared" si="47"/>
        <v>4</v>
      </c>
      <c r="F79" s="146">
        <f t="shared" si="47"/>
        <v>4</v>
      </c>
      <c r="G79" s="146">
        <f t="shared" si="47"/>
        <v>4</v>
      </c>
      <c r="H79" s="146">
        <f t="shared" si="47"/>
        <v>5</v>
      </c>
      <c r="I79" s="146">
        <f t="shared" si="47"/>
        <v>5</v>
      </c>
      <c r="J79" s="146">
        <f t="shared" si="47"/>
        <v>6</v>
      </c>
      <c r="K79" s="146">
        <f t="shared" si="47"/>
        <v>6</v>
      </c>
      <c r="L79" s="146">
        <f t="shared" si="47"/>
        <v>7</v>
      </c>
      <c r="M79" s="146">
        <f t="shared" si="47"/>
        <v>8</v>
      </c>
      <c r="N79" s="146">
        <f t="shared" si="47"/>
        <v>8</v>
      </c>
      <c r="O79" s="146">
        <f t="shared" si="47"/>
        <v>8</v>
      </c>
      <c r="P79" s="146">
        <f t="shared" si="47"/>
        <v>8</v>
      </c>
      <c r="Q79" s="146">
        <f t="shared" si="47"/>
        <v>8</v>
      </c>
      <c r="R79" s="146">
        <f t="shared" si="47"/>
        <v>9</v>
      </c>
      <c r="S79" s="146">
        <f t="shared" si="47"/>
        <v>9</v>
      </c>
      <c r="T79" s="146">
        <f t="shared" si="47"/>
        <v>9</v>
      </c>
      <c r="U79" s="146">
        <f t="shared" si="47"/>
        <v>9</v>
      </c>
      <c r="V79" s="146">
        <f t="shared" si="47"/>
        <v>9</v>
      </c>
      <c r="W79" s="146">
        <f t="shared" si="47"/>
        <v>9</v>
      </c>
      <c r="X79" s="146">
        <f t="shared" si="47"/>
        <v>9</v>
      </c>
      <c r="Y79" s="146">
        <f t="shared" si="47"/>
        <v>9</v>
      </c>
      <c r="Z79" s="146">
        <f t="shared" si="47"/>
        <v>8</v>
      </c>
      <c r="AA79" s="146">
        <f t="shared" si="47"/>
        <v>8</v>
      </c>
      <c r="AB79" s="657">
        <f t="shared" si="47"/>
        <v>8</v>
      </c>
      <c r="AC79" s="146">
        <f t="shared" si="47"/>
        <v>3</v>
      </c>
    </row>
    <row r="80" spans="1:29" x14ac:dyDescent="0.2">
      <c r="A80" s="36" t="str">
        <f t="shared" si="29"/>
        <v>≥ Level 3 Aircrewmen</v>
      </c>
      <c r="B80" s="146">
        <f t="shared" ref="B80:AC80" si="48">IF($B129 = "NA","NA",ROUNDUP(IF(B$13="Deploy",MAX((B$104/100)*$B129,$B129),(B$104/100)*$B129),0))</f>
        <v>1</v>
      </c>
      <c r="C80" s="146">
        <f t="shared" si="48"/>
        <v>1</v>
      </c>
      <c r="D80" s="146">
        <f t="shared" si="48"/>
        <v>1</v>
      </c>
      <c r="E80" s="146">
        <f t="shared" si="48"/>
        <v>1</v>
      </c>
      <c r="F80" s="146">
        <f t="shared" si="48"/>
        <v>1</v>
      </c>
      <c r="G80" s="146">
        <f t="shared" si="48"/>
        <v>1</v>
      </c>
      <c r="H80" s="146">
        <f t="shared" si="48"/>
        <v>1</v>
      </c>
      <c r="I80" s="146">
        <f t="shared" si="48"/>
        <v>1</v>
      </c>
      <c r="J80" s="146">
        <f t="shared" si="48"/>
        <v>1</v>
      </c>
      <c r="K80" s="146">
        <f t="shared" si="48"/>
        <v>1</v>
      </c>
      <c r="L80" s="146">
        <f t="shared" si="48"/>
        <v>1</v>
      </c>
      <c r="M80" s="146">
        <f t="shared" si="48"/>
        <v>1</v>
      </c>
      <c r="N80" s="146">
        <f t="shared" si="48"/>
        <v>1</v>
      </c>
      <c r="O80" s="146">
        <f t="shared" si="48"/>
        <v>1</v>
      </c>
      <c r="P80" s="146">
        <f t="shared" si="48"/>
        <v>1</v>
      </c>
      <c r="Q80" s="146">
        <f t="shared" si="48"/>
        <v>1</v>
      </c>
      <c r="R80" s="146">
        <f t="shared" si="48"/>
        <v>1</v>
      </c>
      <c r="S80" s="146">
        <f t="shared" si="48"/>
        <v>1</v>
      </c>
      <c r="T80" s="146">
        <f t="shared" si="48"/>
        <v>1</v>
      </c>
      <c r="U80" s="146">
        <f t="shared" si="48"/>
        <v>1</v>
      </c>
      <c r="V80" s="146">
        <f t="shared" si="48"/>
        <v>1</v>
      </c>
      <c r="W80" s="146">
        <f t="shared" si="48"/>
        <v>1</v>
      </c>
      <c r="X80" s="146">
        <f t="shared" si="48"/>
        <v>1</v>
      </c>
      <c r="Y80" s="146">
        <f t="shared" si="48"/>
        <v>1</v>
      </c>
      <c r="Z80" s="146">
        <f t="shared" si="48"/>
        <v>1</v>
      </c>
      <c r="AA80" s="146">
        <f t="shared" si="48"/>
        <v>1</v>
      </c>
      <c r="AB80" s="657">
        <f t="shared" si="48"/>
        <v>1</v>
      </c>
      <c r="AC80" s="146">
        <f t="shared" si="48"/>
        <v>1</v>
      </c>
    </row>
    <row r="81" spans="1:29" x14ac:dyDescent="0.2">
      <c r="A81" s="36" t="str">
        <f t="shared" si="29"/>
        <v>≥ Level 2 Aircrewmen</v>
      </c>
      <c r="B81" s="146">
        <f t="shared" ref="B81:AC81" si="49">IF($B130 = "NA","NA",ROUNDUP(IF(B$13="Deploy",MAX((B$104/100)*$B130,$B130),(B$104/100)*$B130),0))</f>
        <v>3</v>
      </c>
      <c r="C81" s="146">
        <f t="shared" si="49"/>
        <v>3</v>
      </c>
      <c r="D81" s="146">
        <f t="shared" si="49"/>
        <v>3</v>
      </c>
      <c r="E81" s="146">
        <f t="shared" si="49"/>
        <v>3</v>
      </c>
      <c r="F81" s="146">
        <f t="shared" si="49"/>
        <v>3</v>
      </c>
      <c r="G81" s="146">
        <f t="shared" si="49"/>
        <v>3</v>
      </c>
      <c r="H81" s="146">
        <f t="shared" si="49"/>
        <v>4</v>
      </c>
      <c r="I81" s="146">
        <f t="shared" si="49"/>
        <v>5</v>
      </c>
      <c r="J81" s="146">
        <f t="shared" si="49"/>
        <v>5</v>
      </c>
      <c r="K81" s="146">
        <f t="shared" si="49"/>
        <v>6</v>
      </c>
      <c r="L81" s="146">
        <f t="shared" si="49"/>
        <v>6</v>
      </c>
      <c r="M81" s="146">
        <f t="shared" si="49"/>
        <v>7</v>
      </c>
      <c r="N81" s="146">
        <f t="shared" si="49"/>
        <v>7</v>
      </c>
      <c r="O81" s="146">
        <f t="shared" si="49"/>
        <v>7</v>
      </c>
      <c r="P81" s="146">
        <f t="shared" si="49"/>
        <v>7</v>
      </c>
      <c r="Q81" s="146">
        <f t="shared" si="49"/>
        <v>7</v>
      </c>
      <c r="R81" s="146">
        <f t="shared" si="49"/>
        <v>8</v>
      </c>
      <c r="S81" s="146">
        <f t="shared" si="49"/>
        <v>8</v>
      </c>
      <c r="T81" s="146">
        <f t="shared" si="49"/>
        <v>8</v>
      </c>
      <c r="U81" s="146">
        <f t="shared" si="49"/>
        <v>8</v>
      </c>
      <c r="V81" s="146">
        <f t="shared" si="49"/>
        <v>8</v>
      </c>
      <c r="W81" s="146">
        <f t="shared" si="49"/>
        <v>8</v>
      </c>
      <c r="X81" s="146">
        <f t="shared" si="49"/>
        <v>8</v>
      </c>
      <c r="Y81" s="146">
        <f t="shared" si="49"/>
        <v>8</v>
      </c>
      <c r="Z81" s="146">
        <f t="shared" si="49"/>
        <v>7</v>
      </c>
      <c r="AA81" s="146">
        <f t="shared" si="49"/>
        <v>7</v>
      </c>
      <c r="AB81" s="657">
        <f t="shared" si="49"/>
        <v>7</v>
      </c>
      <c r="AC81" s="146">
        <f t="shared" si="49"/>
        <v>3</v>
      </c>
    </row>
    <row r="82" spans="1:29" x14ac:dyDescent="0.2">
      <c r="A82" s="36" t="str">
        <f t="shared" si="29"/>
        <v>≥ Level 1 Aircrewmen</v>
      </c>
      <c r="B82" s="146">
        <f t="shared" ref="B82:AC82" si="50">IF($B131 = "NA","NA",ROUNDUP(IF(B$13="Deploy",MAX((B$104/100)*$B131,$B131),(B$104/100)*$B131),0))</f>
        <v>4</v>
      </c>
      <c r="C82" s="146">
        <f t="shared" si="50"/>
        <v>4</v>
      </c>
      <c r="D82" s="146">
        <f t="shared" si="50"/>
        <v>4</v>
      </c>
      <c r="E82" s="146">
        <f t="shared" si="50"/>
        <v>4</v>
      </c>
      <c r="F82" s="146">
        <f t="shared" si="50"/>
        <v>4</v>
      </c>
      <c r="G82" s="146">
        <f t="shared" si="50"/>
        <v>4</v>
      </c>
      <c r="H82" s="146">
        <f t="shared" si="50"/>
        <v>5</v>
      </c>
      <c r="I82" s="146">
        <f t="shared" si="50"/>
        <v>5</v>
      </c>
      <c r="J82" s="146">
        <f t="shared" si="50"/>
        <v>6</v>
      </c>
      <c r="K82" s="146">
        <f t="shared" si="50"/>
        <v>6</v>
      </c>
      <c r="L82" s="146">
        <f t="shared" si="50"/>
        <v>7</v>
      </c>
      <c r="M82" s="146">
        <f t="shared" si="50"/>
        <v>8</v>
      </c>
      <c r="N82" s="146">
        <f t="shared" si="50"/>
        <v>8</v>
      </c>
      <c r="O82" s="146">
        <f t="shared" si="50"/>
        <v>8</v>
      </c>
      <c r="P82" s="146">
        <f t="shared" si="50"/>
        <v>8</v>
      </c>
      <c r="Q82" s="146">
        <f t="shared" si="50"/>
        <v>8</v>
      </c>
      <c r="R82" s="146">
        <f t="shared" si="50"/>
        <v>9</v>
      </c>
      <c r="S82" s="146">
        <f t="shared" si="50"/>
        <v>9</v>
      </c>
      <c r="T82" s="146">
        <f t="shared" si="50"/>
        <v>9</v>
      </c>
      <c r="U82" s="146">
        <f t="shared" si="50"/>
        <v>9</v>
      </c>
      <c r="V82" s="146">
        <f t="shared" si="50"/>
        <v>9</v>
      </c>
      <c r="W82" s="146">
        <f t="shared" si="50"/>
        <v>9</v>
      </c>
      <c r="X82" s="146">
        <f t="shared" si="50"/>
        <v>9</v>
      </c>
      <c r="Y82" s="146">
        <f t="shared" si="50"/>
        <v>9</v>
      </c>
      <c r="Z82" s="146">
        <f t="shared" si="50"/>
        <v>8</v>
      </c>
      <c r="AA82" s="146">
        <f t="shared" si="50"/>
        <v>8</v>
      </c>
      <c r="AB82" s="657">
        <f t="shared" si="50"/>
        <v>8</v>
      </c>
      <c r="AC82" s="146">
        <f t="shared" si="50"/>
        <v>3</v>
      </c>
    </row>
    <row r="83" spans="1:29" x14ac:dyDescent="0.2">
      <c r="A83" s="36" t="str">
        <f t="shared" si="29"/>
        <v>≥ PR/SOF 3 Aircrewmen</v>
      </c>
      <c r="B83" s="146">
        <f t="shared" ref="B83:AC83" si="51">IF($B132 = "NA","NA",ROUNDUP(IF(B$13="Deploy",MAX((B$104/100)*$B132,$B132),(B$104/100)*$B132),0))</f>
        <v>1</v>
      </c>
      <c r="C83" s="146">
        <f t="shared" si="51"/>
        <v>1</v>
      </c>
      <c r="D83" s="146">
        <f t="shared" si="51"/>
        <v>1</v>
      </c>
      <c r="E83" s="146">
        <f t="shared" si="51"/>
        <v>1</v>
      </c>
      <c r="F83" s="146">
        <f t="shared" si="51"/>
        <v>1</v>
      </c>
      <c r="G83" s="146">
        <f t="shared" si="51"/>
        <v>1</v>
      </c>
      <c r="H83" s="146">
        <f t="shared" si="51"/>
        <v>1</v>
      </c>
      <c r="I83" s="146">
        <f t="shared" si="51"/>
        <v>2</v>
      </c>
      <c r="J83" s="146">
        <f t="shared" si="51"/>
        <v>2</v>
      </c>
      <c r="K83" s="146">
        <f t="shared" si="51"/>
        <v>2</v>
      </c>
      <c r="L83" s="146">
        <f t="shared" si="51"/>
        <v>2</v>
      </c>
      <c r="M83" s="146">
        <f t="shared" si="51"/>
        <v>2</v>
      </c>
      <c r="N83" s="146">
        <f t="shared" si="51"/>
        <v>2</v>
      </c>
      <c r="O83" s="146">
        <f t="shared" si="51"/>
        <v>2</v>
      </c>
      <c r="P83" s="146">
        <f t="shared" si="51"/>
        <v>2</v>
      </c>
      <c r="Q83" s="146">
        <f t="shared" si="51"/>
        <v>2</v>
      </c>
      <c r="R83" s="146">
        <f t="shared" si="51"/>
        <v>2</v>
      </c>
      <c r="S83" s="146">
        <f t="shared" si="51"/>
        <v>2</v>
      </c>
      <c r="T83" s="146">
        <f t="shared" si="51"/>
        <v>2</v>
      </c>
      <c r="U83" s="146">
        <f t="shared" si="51"/>
        <v>2</v>
      </c>
      <c r="V83" s="146">
        <f t="shared" si="51"/>
        <v>2</v>
      </c>
      <c r="W83" s="146">
        <f t="shared" si="51"/>
        <v>2</v>
      </c>
      <c r="X83" s="146">
        <f t="shared" si="51"/>
        <v>2</v>
      </c>
      <c r="Y83" s="146">
        <f t="shared" si="51"/>
        <v>2</v>
      </c>
      <c r="Z83" s="146">
        <f t="shared" si="51"/>
        <v>2</v>
      </c>
      <c r="AA83" s="146">
        <f t="shared" si="51"/>
        <v>2</v>
      </c>
      <c r="AB83" s="657">
        <f t="shared" si="51"/>
        <v>2</v>
      </c>
      <c r="AC83" s="146">
        <f t="shared" si="51"/>
        <v>1</v>
      </c>
    </row>
    <row r="84" spans="1:29" x14ac:dyDescent="0.2">
      <c r="A84" s="36" t="str">
        <f t="shared" si="29"/>
        <v>≥ MIW Level 2 Aircrewmen</v>
      </c>
      <c r="B84" s="146" t="str">
        <f t="shared" ref="B84:AC84" si="52">IF($B133 = "NA","NA",ROUNDUP(IF(B$13="Deploy",MAX((B$104/100)*$B133,$B133),(B$104/100)*$B133),0))</f>
        <v>NA</v>
      </c>
      <c r="C84" s="146" t="str">
        <f t="shared" si="52"/>
        <v>NA</v>
      </c>
      <c r="D84" s="146" t="str">
        <f t="shared" si="52"/>
        <v>NA</v>
      </c>
      <c r="E84" s="146" t="str">
        <f t="shared" si="52"/>
        <v>NA</v>
      </c>
      <c r="F84" s="146" t="str">
        <f t="shared" si="52"/>
        <v>NA</v>
      </c>
      <c r="G84" s="146" t="str">
        <f t="shared" si="52"/>
        <v>NA</v>
      </c>
      <c r="H84" s="146" t="str">
        <f t="shared" si="52"/>
        <v>NA</v>
      </c>
      <c r="I84" s="146" t="str">
        <f t="shared" si="52"/>
        <v>NA</v>
      </c>
      <c r="J84" s="146" t="str">
        <f t="shared" si="52"/>
        <v>NA</v>
      </c>
      <c r="K84" s="146" t="str">
        <f t="shared" si="52"/>
        <v>NA</v>
      </c>
      <c r="L84" s="146" t="str">
        <f t="shared" si="52"/>
        <v>NA</v>
      </c>
      <c r="M84" s="146" t="str">
        <f t="shared" si="52"/>
        <v>NA</v>
      </c>
      <c r="N84" s="146" t="str">
        <f t="shared" si="52"/>
        <v>NA</v>
      </c>
      <c r="O84" s="146" t="str">
        <f t="shared" si="52"/>
        <v>NA</v>
      </c>
      <c r="P84" s="146" t="str">
        <f t="shared" si="52"/>
        <v>NA</v>
      </c>
      <c r="Q84" s="146" t="str">
        <f t="shared" si="52"/>
        <v>NA</v>
      </c>
      <c r="R84" s="146" t="str">
        <f t="shared" si="52"/>
        <v>NA</v>
      </c>
      <c r="S84" s="146" t="str">
        <f t="shared" si="52"/>
        <v>NA</v>
      </c>
      <c r="T84" s="146" t="str">
        <f t="shared" si="52"/>
        <v>NA</v>
      </c>
      <c r="U84" s="146" t="str">
        <f t="shared" si="52"/>
        <v>NA</v>
      </c>
      <c r="V84" s="146" t="str">
        <f t="shared" si="52"/>
        <v>NA</v>
      </c>
      <c r="W84" s="146" t="str">
        <f t="shared" si="52"/>
        <v>NA</v>
      </c>
      <c r="X84" s="146" t="str">
        <f t="shared" si="52"/>
        <v>NA</v>
      </c>
      <c r="Y84" s="146" t="str">
        <f t="shared" si="52"/>
        <v>NA</v>
      </c>
      <c r="Z84" s="146" t="str">
        <f t="shared" si="52"/>
        <v>NA</v>
      </c>
      <c r="AA84" s="146" t="str">
        <f t="shared" si="52"/>
        <v>NA</v>
      </c>
      <c r="AB84" s="657" t="str">
        <f t="shared" si="52"/>
        <v>NA</v>
      </c>
      <c r="AC84" s="146" t="str">
        <f t="shared" si="52"/>
        <v>NA</v>
      </c>
    </row>
    <row r="85" spans="1:29" x14ac:dyDescent="0.2">
      <c r="A85" s="36" t="str">
        <f t="shared" si="29"/>
        <v>≥ MIW Level 1 Aircrewmen</v>
      </c>
      <c r="B85" s="146" t="str">
        <f t="shared" ref="B85:AC85" si="53">IF($B134 = "NA","NA",ROUNDUP(IF(B$13="Deploy",MAX((B$104/100)*$B134,$B134),(B$104/100)*$B134),0))</f>
        <v>NA</v>
      </c>
      <c r="C85" s="146" t="str">
        <f t="shared" si="53"/>
        <v>NA</v>
      </c>
      <c r="D85" s="146" t="str">
        <f t="shared" si="53"/>
        <v>NA</v>
      </c>
      <c r="E85" s="146" t="str">
        <f t="shared" si="53"/>
        <v>NA</v>
      </c>
      <c r="F85" s="146" t="str">
        <f t="shared" si="53"/>
        <v>NA</v>
      </c>
      <c r="G85" s="146" t="str">
        <f t="shared" si="53"/>
        <v>NA</v>
      </c>
      <c r="H85" s="146" t="str">
        <f t="shared" si="53"/>
        <v>NA</v>
      </c>
      <c r="I85" s="146" t="str">
        <f t="shared" si="53"/>
        <v>NA</v>
      </c>
      <c r="J85" s="146" t="str">
        <f t="shared" si="53"/>
        <v>NA</v>
      </c>
      <c r="K85" s="146" t="str">
        <f t="shared" si="53"/>
        <v>NA</v>
      </c>
      <c r="L85" s="146" t="str">
        <f t="shared" si="53"/>
        <v>NA</v>
      </c>
      <c r="M85" s="146" t="str">
        <f t="shared" si="53"/>
        <v>NA</v>
      </c>
      <c r="N85" s="146" t="str">
        <f t="shared" si="53"/>
        <v>NA</v>
      </c>
      <c r="O85" s="146" t="str">
        <f t="shared" si="53"/>
        <v>NA</v>
      </c>
      <c r="P85" s="146" t="str">
        <f t="shared" si="53"/>
        <v>NA</v>
      </c>
      <c r="Q85" s="146" t="str">
        <f t="shared" si="53"/>
        <v>NA</v>
      </c>
      <c r="R85" s="146" t="str">
        <f t="shared" si="53"/>
        <v>NA</v>
      </c>
      <c r="S85" s="146" t="str">
        <f t="shared" si="53"/>
        <v>NA</v>
      </c>
      <c r="T85" s="146" t="str">
        <f t="shared" si="53"/>
        <v>NA</v>
      </c>
      <c r="U85" s="146" t="str">
        <f t="shared" si="53"/>
        <v>NA</v>
      </c>
      <c r="V85" s="146" t="str">
        <f t="shared" si="53"/>
        <v>NA</v>
      </c>
      <c r="W85" s="146" t="str">
        <f t="shared" si="53"/>
        <v>NA</v>
      </c>
      <c r="X85" s="146" t="str">
        <f t="shared" si="53"/>
        <v>NA</v>
      </c>
      <c r="Y85" s="146" t="str">
        <f t="shared" si="53"/>
        <v>NA</v>
      </c>
      <c r="Z85" s="146" t="str">
        <f t="shared" si="53"/>
        <v>NA</v>
      </c>
      <c r="AA85" s="146" t="str">
        <f t="shared" si="53"/>
        <v>NA</v>
      </c>
      <c r="AB85" s="657" t="str">
        <f t="shared" si="53"/>
        <v>NA</v>
      </c>
      <c r="AC85" s="146" t="str">
        <f t="shared" si="53"/>
        <v>NA</v>
      </c>
    </row>
    <row r="86" spans="1:29" x14ac:dyDescent="0.2">
      <c r="A86" s="36" t="str">
        <f t="shared" si="29"/>
        <v>≥ TAC Level 3 Aircrewmen</v>
      </c>
      <c r="B86" s="146" t="str">
        <f t="shared" ref="B86:AC86" si="54">IF($B135 = "NA","NA",ROUNDUP(IF(B$13="Deploy",MAX((B$104/100)*$B135,$B135),(B$104/100)*$B135),0))</f>
        <v>NA</v>
      </c>
      <c r="C86" s="146" t="str">
        <f t="shared" si="54"/>
        <v>NA</v>
      </c>
      <c r="D86" s="146" t="str">
        <f t="shared" si="54"/>
        <v>NA</v>
      </c>
      <c r="E86" s="146" t="str">
        <f t="shared" si="54"/>
        <v>NA</v>
      </c>
      <c r="F86" s="146" t="str">
        <f t="shared" si="54"/>
        <v>NA</v>
      </c>
      <c r="G86" s="146" t="str">
        <f t="shared" si="54"/>
        <v>NA</v>
      </c>
      <c r="H86" s="146" t="str">
        <f t="shared" si="54"/>
        <v>NA</v>
      </c>
      <c r="I86" s="146" t="str">
        <f t="shared" si="54"/>
        <v>NA</v>
      </c>
      <c r="J86" s="146" t="str">
        <f t="shared" si="54"/>
        <v>NA</v>
      </c>
      <c r="K86" s="146" t="str">
        <f t="shared" si="54"/>
        <v>NA</v>
      </c>
      <c r="L86" s="146" t="str">
        <f t="shared" si="54"/>
        <v>NA</v>
      </c>
      <c r="M86" s="146" t="str">
        <f t="shared" si="54"/>
        <v>NA</v>
      </c>
      <c r="N86" s="146" t="str">
        <f t="shared" si="54"/>
        <v>NA</v>
      </c>
      <c r="O86" s="146" t="str">
        <f t="shared" si="54"/>
        <v>NA</v>
      </c>
      <c r="P86" s="146" t="str">
        <f t="shared" si="54"/>
        <v>NA</v>
      </c>
      <c r="Q86" s="146" t="str">
        <f t="shared" si="54"/>
        <v>NA</v>
      </c>
      <c r="R86" s="146" t="str">
        <f t="shared" si="54"/>
        <v>NA</v>
      </c>
      <c r="S86" s="146" t="str">
        <f t="shared" si="54"/>
        <v>NA</v>
      </c>
      <c r="T86" s="146" t="str">
        <f t="shared" si="54"/>
        <v>NA</v>
      </c>
      <c r="U86" s="146" t="str">
        <f t="shared" si="54"/>
        <v>NA</v>
      </c>
      <c r="V86" s="146" t="str">
        <f t="shared" si="54"/>
        <v>NA</v>
      </c>
      <c r="W86" s="146" t="str">
        <f t="shared" si="54"/>
        <v>NA</v>
      </c>
      <c r="X86" s="146" t="str">
        <f t="shared" si="54"/>
        <v>NA</v>
      </c>
      <c r="Y86" s="146" t="str">
        <f t="shared" si="54"/>
        <v>NA</v>
      </c>
      <c r="Z86" s="146" t="str">
        <f t="shared" si="54"/>
        <v>NA</v>
      </c>
      <c r="AA86" s="146" t="str">
        <f t="shared" si="54"/>
        <v>NA</v>
      </c>
      <c r="AB86" s="657" t="str">
        <f t="shared" si="54"/>
        <v>NA</v>
      </c>
      <c r="AC86" s="146" t="str">
        <f t="shared" si="54"/>
        <v>NA</v>
      </c>
    </row>
    <row r="87" spans="1:29" x14ac:dyDescent="0.2">
      <c r="A87" s="36" t="str">
        <f t="shared" si="29"/>
        <v>≥ TAC Level 2 Aircrewmen</v>
      </c>
      <c r="B87" s="146" t="str">
        <f t="shared" ref="B87:AC87" si="55">IF($B136 = "NA","NA",ROUNDUP(IF(B$13="Deploy",MAX((B$104/100)*$B136,$B136),(B$104/100)*$B136),0))</f>
        <v>NA</v>
      </c>
      <c r="C87" s="146" t="str">
        <f t="shared" si="55"/>
        <v>NA</v>
      </c>
      <c r="D87" s="146" t="str">
        <f t="shared" si="55"/>
        <v>NA</v>
      </c>
      <c r="E87" s="146" t="str">
        <f t="shared" si="55"/>
        <v>NA</v>
      </c>
      <c r="F87" s="146" t="str">
        <f t="shared" si="55"/>
        <v>NA</v>
      </c>
      <c r="G87" s="146" t="str">
        <f t="shared" si="55"/>
        <v>NA</v>
      </c>
      <c r="H87" s="146" t="str">
        <f t="shared" si="55"/>
        <v>NA</v>
      </c>
      <c r="I87" s="146" t="str">
        <f t="shared" si="55"/>
        <v>NA</v>
      </c>
      <c r="J87" s="146" t="str">
        <f t="shared" si="55"/>
        <v>NA</v>
      </c>
      <c r="K87" s="146" t="str">
        <f t="shared" si="55"/>
        <v>NA</v>
      </c>
      <c r="L87" s="146" t="str">
        <f t="shared" si="55"/>
        <v>NA</v>
      </c>
      <c r="M87" s="146" t="str">
        <f t="shared" si="55"/>
        <v>NA</v>
      </c>
      <c r="N87" s="146" t="str">
        <f t="shared" si="55"/>
        <v>NA</v>
      </c>
      <c r="O87" s="146" t="str">
        <f t="shared" si="55"/>
        <v>NA</v>
      </c>
      <c r="P87" s="146" t="str">
        <f t="shared" si="55"/>
        <v>NA</v>
      </c>
      <c r="Q87" s="146" t="str">
        <f t="shared" si="55"/>
        <v>NA</v>
      </c>
      <c r="R87" s="146" t="str">
        <f t="shared" si="55"/>
        <v>NA</v>
      </c>
      <c r="S87" s="146" t="str">
        <f t="shared" si="55"/>
        <v>NA</v>
      </c>
      <c r="T87" s="146" t="str">
        <f t="shared" si="55"/>
        <v>NA</v>
      </c>
      <c r="U87" s="146" t="str">
        <f t="shared" si="55"/>
        <v>NA</v>
      </c>
      <c r="V87" s="146" t="str">
        <f t="shared" si="55"/>
        <v>NA</v>
      </c>
      <c r="W87" s="146" t="str">
        <f t="shared" si="55"/>
        <v>NA</v>
      </c>
      <c r="X87" s="146" t="str">
        <f t="shared" si="55"/>
        <v>NA</v>
      </c>
      <c r="Y87" s="146" t="str">
        <f t="shared" si="55"/>
        <v>NA</v>
      </c>
      <c r="Z87" s="146" t="str">
        <f t="shared" si="55"/>
        <v>NA</v>
      </c>
      <c r="AA87" s="146" t="str">
        <f t="shared" si="55"/>
        <v>NA</v>
      </c>
      <c r="AB87" s="657" t="str">
        <f t="shared" si="55"/>
        <v>NA</v>
      </c>
      <c r="AC87" s="146" t="str">
        <f t="shared" si="55"/>
        <v>NA</v>
      </c>
    </row>
    <row r="88" spans="1:29" x14ac:dyDescent="0.2">
      <c r="A88" s="36" t="str">
        <f t="shared" si="29"/>
        <v>Aerial Gunnery Instructor (AGI) Aircrewmen</v>
      </c>
      <c r="B88" s="146">
        <f t="shared" ref="B88:AC88" si="56">IF($B137 = "NA","NA",ROUNDUP(IF(B$13="Deploy",MAX((B$104/100)*$B137,$B137),(B$104/100)*$B137),0))</f>
        <v>1</v>
      </c>
      <c r="C88" s="146">
        <f t="shared" si="56"/>
        <v>1</v>
      </c>
      <c r="D88" s="146">
        <f t="shared" si="56"/>
        <v>1</v>
      </c>
      <c r="E88" s="146">
        <f t="shared" si="56"/>
        <v>1</v>
      </c>
      <c r="F88" s="146">
        <f t="shared" si="56"/>
        <v>1</v>
      </c>
      <c r="G88" s="146">
        <f t="shared" si="56"/>
        <v>1</v>
      </c>
      <c r="H88" s="146">
        <f t="shared" si="56"/>
        <v>1</v>
      </c>
      <c r="I88" s="146">
        <f t="shared" si="56"/>
        <v>1</v>
      </c>
      <c r="J88" s="146">
        <f t="shared" si="56"/>
        <v>1</v>
      </c>
      <c r="K88" s="146">
        <f t="shared" si="56"/>
        <v>1</v>
      </c>
      <c r="L88" s="146">
        <f t="shared" si="56"/>
        <v>1</v>
      </c>
      <c r="M88" s="146">
        <f t="shared" si="56"/>
        <v>1</v>
      </c>
      <c r="N88" s="146">
        <f t="shared" si="56"/>
        <v>1</v>
      </c>
      <c r="O88" s="146">
        <f t="shared" si="56"/>
        <v>1</v>
      </c>
      <c r="P88" s="146">
        <f t="shared" si="56"/>
        <v>1</v>
      </c>
      <c r="Q88" s="146">
        <f t="shared" si="56"/>
        <v>1</v>
      </c>
      <c r="R88" s="146">
        <f t="shared" si="56"/>
        <v>1</v>
      </c>
      <c r="S88" s="146">
        <f t="shared" si="56"/>
        <v>1</v>
      </c>
      <c r="T88" s="146">
        <f t="shared" si="56"/>
        <v>1</v>
      </c>
      <c r="U88" s="146">
        <f t="shared" si="56"/>
        <v>1</v>
      </c>
      <c r="V88" s="146">
        <f t="shared" si="56"/>
        <v>1</v>
      </c>
      <c r="W88" s="146">
        <f t="shared" si="56"/>
        <v>1</v>
      </c>
      <c r="X88" s="146">
        <f t="shared" si="56"/>
        <v>1</v>
      </c>
      <c r="Y88" s="146">
        <f t="shared" si="56"/>
        <v>1</v>
      </c>
      <c r="Z88" s="146">
        <f t="shared" si="56"/>
        <v>1</v>
      </c>
      <c r="AA88" s="146">
        <f t="shared" si="56"/>
        <v>1</v>
      </c>
      <c r="AB88" s="657">
        <f t="shared" si="56"/>
        <v>1</v>
      </c>
      <c r="AC88" s="146">
        <f t="shared" si="56"/>
        <v>1</v>
      </c>
    </row>
    <row r="89" spans="1:29" x14ac:dyDescent="0.2">
      <c r="A89" s="36" t="str">
        <f t="shared" si="29"/>
        <v>Aerial Gunner (AG) Aircrewmen</v>
      </c>
      <c r="B89" s="146">
        <f t="shared" ref="B89:AC89" si="57">IF($B138 = "NA","NA",ROUNDUP(IF(B$13="Deploy",MAX((B$104/100)*$B138,$B138),(B$104/100)*$B138),0))</f>
        <v>3</v>
      </c>
      <c r="C89" s="146">
        <f t="shared" si="57"/>
        <v>3</v>
      </c>
      <c r="D89" s="146">
        <f t="shared" si="57"/>
        <v>3</v>
      </c>
      <c r="E89" s="146">
        <f t="shared" si="57"/>
        <v>3</v>
      </c>
      <c r="F89" s="146">
        <f t="shared" si="57"/>
        <v>3</v>
      </c>
      <c r="G89" s="146">
        <f t="shared" si="57"/>
        <v>3</v>
      </c>
      <c r="H89" s="146">
        <f t="shared" si="57"/>
        <v>4</v>
      </c>
      <c r="I89" s="146">
        <f t="shared" si="57"/>
        <v>5</v>
      </c>
      <c r="J89" s="146">
        <f t="shared" si="57"/>
        <v>5</v>
      </c>
      <c r="K89" s="146">
        <f t="shared" si="57"/>
        <v>6</v>
      </c>
      <c r="L89" s="146">
        <f t="shared" si="57"/>
        <v>6</v>
      </c>
      <c r="M89" s="146">
        <f t="shared" si="57"/>
        <v>7</v>
      </c>
      <c r="N89" s="146">
        <f t="shared" si="57"/>
        <v>7</v>
      </c>
      <c r="O89" s="146">
        <f t="shared" si="57"/>
        <v>7</v>
      </c>
      <c r="P89" s="146">
        <f t="shared" si="57"/>
        <v>7</v>
      </c>
      <c r="Q89" s="146">
        <f t="shared" si="57"/>
        <v>7</v>
      </c>
      <c r="R89" s="146">
        <f t="shared" si="57"/>
        <v>8</v>
      </c>
      <c r="S89" s="146">
        <f t="shared" si="57"/>
        <v>8</v>
      </c>
      <c r="T89" s="146">
        <f t="shared" si="57"/>
        <v>8</v>
      </c>
      <c r="U89" s="146">
        <f t="shared" si="57"/>
        <v>8</v>
      </c>
      <c r="V89" s="146">
        <f t="shared" si="57"/>
        <v>8</v>
      </c>
      <c r="W89" s="146">
        <f t="shared" si="57"/>
        <v>8</v>
      </c>
      <c r="X89" s="146">
        <f t="shared" si="57"/>
        <v>8</v>
      </c>
      <c r="Y89" s="146">
        <f t="shared" si="57"/>
        <v>8</v>
      </c>
      <c r="Z89" s="146">
        <f t="shared" si="57"/>
        <v>7</v>
      </c>
      <c r="AA89" s="146">
        <f t="shared" si="57"/>
        <v>7</v>
      </c>
      <c r="AB89" s="657">
        <f t="shared" si="57"/>
        <v>7</v>
      </c>
      <c r="AC89" s="146">
        <f t="shared" si="57"/>
        <v>3</v>
      </c>
    </row>
    <row r="90" spans="1:29" x14ac:dyDescent="0.2">
      <c r="A90" s="36" t="str">
        <f t="shared" si="29"/>
        <v>Mountain Flying School Aircrewmen</v>
      </c>
      <c r="B90" s="146">
        <f t="shared" ref="B90:AC90" si="58">IF($B139 = "NA","NA",ROUNDUP(IF(B$13="Deploy",MAX((B$104/100)*$B139,$B139),(B$104/100)*$B139),0))</f>
        <v>1</v>
      </c>
      <c r="C90" s="146">
        <f t="shared" si="58"/>
        <v>1</v>
      </c>
      <c r="D90" s="146">
        <f t="shared" si="58"/>
        <v>1</v>
      </c>
      <c r="E90" s="146">
        <f t="shared" si="58"/>
        <v>1</v>
      </c>
      <c r="F90" s="146">
        <f t="shared" si="58"/>
        <v>1</v>
      </c>
      <c r="G90" s="146">
        <f t="shared" si="58"/>
        <v>1</v>
      </c>
      <c r="H90" s="146">
        <f t="shared" si="58"/>
        <v>1</v>
      </c>
      <c r="I90" s="146">
        <f t="shared" si="58"/>
        <v>1</v>
      </c>
      <c r="J90" s="146">
        <f t="shared" si="58"/>
        <v>1</v>
      </c>
      <c r="K90" s="146">
        <f t="shared" si="58"/>
        <v>1</v>
      </c>
      <c r="L90" s="146">
        <f t="shared" si="58"/>
        <v>1</v>
      </c>
      <c r="M90" s="146">
        <f t="shared" si="58"/>
        <v>1</v>
      </c>
      <c r="N90" s="146">
        <f t="shared" si="58"/>
        <v>1</v>
      </c>
      <c r="O90" s="146">
        <f t="shared" si="58"/>
        <v>1</v>
      </c>
      <c r="P90" s="146">
        <f t="shared" si="58"/>
        <v>1</v>
      </c>
      <c r="Q90" s="146">
        <f t="shared" si="58"/>
        <v>1</v>
      </c>
      <c r="R90" s="146">
        <f t="shared" si="58"/>
        <v>1</v>
      </c>
      <c r="S90" s="146">
        <f t="shared" si="58"/>
        <v>1</v>
      </c>
      <c r="T90" s="146">
        <f t="shared" si="58"/>
        <v>1</v>
      </c>
      <c r="U90" s="146">
        <f t="shared" si="58"/>
        <v>1</v>
      </c>
      <c r="V90" s="146">
        <f t="shared" si="58"/>
        <v>1</v>
      </c>
      <c r="W90" s="146">
        <f t="shared" si="58"/>
        <v>1</v>
      </c>
      <c r="X90" s="146">
        <f t="shared" si="58"/>
        <v>1</v>
      </c>
      <c r="Y90" s="146">
        <f t="shared" si="58"/>
        <v>1</v>
      </c>
      <c r="Z90" s="146">
        <f t="shared" si="58"/>
        <v>1</v>
      </c>
      <c r="AA90" s="146">
        <f t="shared" si="58"/>
        <v>1</v>
      </c>
      <c r="AB90" s="657">
        <f t="shared" si="58"/>
        <v>1</v>
      </c>
      <c r="AC90" s="146">
        <f t="shared" si="58"/>
        <v>1</v>
      </c>
    </row>
    <row r="91" spans="1:29" x14ac:dyDescent="0.2">
      <c r="A91" s="36" t="str">
        <f t="shared" si="29"/>
        <v>≥ HM (Paramedic) Aircrewmen</v>
      </c>
      <c r="B91" s="146" t="str">
        <f t="shared" ref="B91:AC91" si="59">IF($B140 = "NA","NA",ROUNDUP(IF(B$13="Deploy",MAX((B$104/100)*$B140,$B140),(B$104/100)*$B140),0))</f>
        <v>NA</v>
      </c>
      <c r="C91" s="146" t="str">
        <f t="shared" si="59"/>
        <v>NA</v>
      </c>
      <c r="D91" s="146" t="str">
        <f t="shared" si="59"/>
        <v>NA</v>
      </c>
      <c r="E91" s="146" t="str">
        <f t="shared" si="59"/>
        <v>NA</v>
      </c>
      <c r="F91" s="146" t="str">
        <f t="shared" si="59"/>
        <v>NA</v>
      </c>
      <c r="G91" s="146" t="str">
        <f t="shared" si="59"/>
        <v>NA</v>
      </c>
      <c r="H91" s="146" t="str">
        <f t="shared" si="59"/>
        <v>NA</v>
      </c>
      <c r="I91" s="146" t="str">
        <f t="shared" si="59"/>
        <v>NA</v>
      </c>
      <c r="J91" s="146" t="str">
        <f t="shared" si="59"/>
        <v>NA</v>
      </c>
      <c r="K91" s="146" t="str">
        <f t="shared" si="59"/>
        <v>NA</v>
      </c>
      <c r="L91" s="146" t="str">
        <f t="shared" si="59"/>
        <v>NA</v>
      </c>
      <c r="M91" s="146" t="str">
        <f t="shared" si="59"/>
        <v>NA</v>
      </c>
      <c r="N91" s="146" t="str">
        <f t="shared" si="59"/>
        <v>NA</v>
      </c>
      <c r="O91" s="146" t="str">
        <f t="shared" si="59"/>
        <v>NA</v>
      </c>
      <c r="P91" s="146" t="str">
        <f t="shared" si="59"/>
        <v>NA</v>
      </c>
      <c r="Q91" s="146" t="str">
        <f t="shared" si="59"/>
        <v>NA</v>
      </c>
      <c r="R91" s="146" t="str">
        <f t="shared" si="59"/>
        <v>NA</v>
      </c>
      <c r="S91" s="146" t="str">
        <f t="shared" si="59"/>
        <v>NA</v>
      </c>
      <c r="T91" s="146" t="str">
        <f t="shared" si="59"/>
        <v>NA</v>
      </c>
      <c r="U91" s="146" t="str">
        <f t="shared" si="59"/>
        <v>NA</v>
      </c>
      <c r="V91" s="146" t="str">
        <f t="shared" si="59"/>
        <v>NA</v>
      </c>
      <c r="W91" s="146" t="str">
        <f t="shared" si="59"/>
        <v>NA</v>
      </c>
      <c r="X91" s="146" t="str">
        <f t="shared" si="59"/>
        <v>NA</v>
      </c>
      <c r="Y91" s="146" t="str">
        <f t="shared" si="59"/>
        <v>NA</v>
      </c>
      <c r="Z91" s="146" t="str">
        <f t="shared" si="59"/>
        <v>NA</v>
      </c>
      <c r="AA91" s="146" t="str">
        <f t="shared" si="59"/>
        <v>NA</v>
      </c>
      <c r="AB91" s="657" t="str">
        <f t="shared" si="59"/>
        <v>NA</v>
      </c>
      <c r="AC91" s="146" t="str">
        <f t="shared" si="59"/>
        <v>NA</v>
      </c>
    </row>
    <row r="92" spans="1:29" x14ac:dyDescent="0.2">
      <c r="A92" s="36" t="str">
        <f t="shared" si="29"/>
        <v>Required Skilled Crews</v>
      </c>
      <c r="B92" s="146">
        <f t="shared" ref="B92:Z92" si="60">IF($B141 = "NA","NA",ROUNDUP(IF(B$13="Deploy",MAX((B$104/100)*$B141,$B141),(B$104/100)*$B141),0))</f>
        <v>2</v>
      </c>
      <c r="C92" s="146">
        <f t="shared" si="60"/>
        <v>2</v>
      </c>
      <c r="D92" s="146">
        <f t="shared" si="60"/>
        <v>2</v>
      </c>
      <c r="E92" s="146">
        <f t="shared" si="60"/>
        <v>2</v>
      </c>
      <c r="F92" s="146">
        <f t="shared" si="60"/>
        <v>2</v>
      </c>
      <c r="G92" s="146">
        <f t="shared" si="60"/>
        <v>2</v>
      </c>
      <c r="H92" s="146">
        <f t="shared" si="60"/>
        <v>2</v>
      </c>
      <c r="I92" s="146">
        <f t="shared" si="60"/>
        <v>3</v>
      </c>
      <c r="J92" s="146">
        <f t="shared" si="60"/>
        <v>3</v>
      </c>
      <c r="K92" s="146">
        <f t="shared" si="60"/>
        <v>3</v>
      </c>
      <c r="L92" s="146">
        <f t="shared" si="60"/>
        <v>3</v>
      </c>
      <c r="M92" s="146">
        <f t="shared" si="60"/>
        <v>4</v>
      </c>
      <c r="N92" s="146">
        <f t="shared" si="60"/>
        <v>4</v>
      </c>
      <c r="O92" s="146">
        <f t="shared" si="60"/>
        <v>4</v>
      </c>
      <c r="P92" s="146">
        <f t="shared" si="60"/>
        <v>4</v>
      </c>
      <c r="Q92" s="146">
        <f t="shared" si="60"/>
        <v>4</v>
      </c>
      <c r="R92" s="146">
        <f t="shared" si="60"/>
        <v>4</v>
      </c>
      <c r="S92" s="146">
        <f t="shared" si="60"/>
        <v>4</v>
      </c>
      <c r="T92" s="146">
        <f t="shared" si="60"/>
        <v>4</v>
      </c>
      <c r="U92" s="146">
        <f t="shared" si="60"/>
        <v>4</v>
      </c>
      <c r="V92" s="146">
        <f t="shared" si="60"/>
        <v>4</v>
      </c>
      <c r="W92" s="146">
        <f t="shared" si="60"/>
        <v>4</v>
      </c>
      <c r="X92" s="146">
        <f t="shared" si="60"/>
        <v>4</v>
      </c>
      <c r="Y92" s="146">
        <f t="shared" si="60"/>
        <v>4</v>
      </c>
      <c r="Z92" s="146">
        <f t="shared" si="60"/>
        <v>4</v>
      </c>
      <c r="AA92" s="146">
        <f t="shared" ref="AA92:AC92" si="61">IF($B141 = "NA","NA",ROUNDUP(IF(AA$13="Deploy",MAX((AA$104/100)*$B141,$B141),(AA$104/100)*$B141),0))</f>
        <v>4</v>
      </c>
      <c r="AB92" s="657">
        <f t="shared" si="61"/>
        <v>4</v>
      </c>
      <c r="AC92" s="146">
        <f t="shared" si="61"/>
        <v>2</v>
      </c>
    </row>
    <row r="93" spans="1:29" x14ac:dyDescent="0.2">
      <c r="A93" s="68"/>
      <c r="B93" s="68"/>
      <c r="C93" s="68"/>
      <c r="D93" s="68"/>
      <c r="E93" s="68"/>
      <c r="F93" s="68"/>
      <c r="G93" s="68"/>
      <c r="H93" s="62"/>
      <c r="I93" s="76"/>
      <c r="J93" s="73"/>
      <c r="K93" s="74"/>
      <c r="L93" s="74"/>
      <c r="M93" s="62"/>
      <c r="N93" s="76"/>
      <c r="O93" s="73"/>
      <c r="P93" s="75"/>
      <c r="Q93" s="74"/>
      <c r="R93" s="60"/>
      <c r="S93" s="75"/>
      <c r="T93" s="77"/>
      <c r="U93" s="75"/>
      <c r="V93" s="68"/>
      <c r="W93" s="68"/>
      <c r="X93" s="68"/>
      <c r="Y93" s="68"/>
      <c r="Z93" s="68"/>
      <c r="AA93" s="68"/>
      <c r="AB93" s="68"/>
      <c r="AC93" s="68"/>
    </row>
    <row r="94" spans="1:29" x14ac:dyDescent="0.2">
      <c r="A94" s="68"/>
      <c r="B94" s="68"/>
      <c r="C94" s="68"/>
      <c r="D94" s="68"/>
      <c r="E94" s="68"/>
      <c r="F94" s="68"/>
      <c r="G94" s="68"/>
      <c r="H94" s="62"/>
      <c r="I94" s="76"/>
      <c r="J94" s="73"/>
      <c r="K94" s="74"/>
      <c r="L94" s="74"/>
      <c r="M94" s="62"/>
      <c r="N94" s="76"/>
      <c r="O94" s="73"/>
      <c r="P94" s="75"/>
      <c r="Q94" s="74"/>
      <c r="R94" s="60"/>
      <c r="S94" s="75"/>
      <c r="T94" s="77"/>
      <c r="U94" s="75"/>
      <c r="V94" s="68"/>
      <c r="W94" s="68"/>
      <c r="X94" s="68"/>
      <c r="Y94" s="68"/>
      <c r="Z94" s="68"/>
      <c r="AA94" s="68"/>
      <c r="AB94" s="68"/>
      <c r="AC94" s="68"/>
    </row>
    <row r="95" spans="1:29" x14ac:dyDescent="0.2">
      <c r="A95" s="68"/>
      <c r="B95" s="68"/>
      <c r="C95" s="68"/>
      <c r="D95" s="68"/>
      <c r="E95" s="68"/>
      <c r="F95" s="68"/>
      <c r="G95" s="68"/>
      <c r="H95" s="62"/>
      <c r="I95" s="76"/>
      <c r="J95" s="73"/>
      <c r="K95" s="74"/>
      <c r="L95" s="74"/>
      <c r="M95" s="62"/>
      <c r="N95" s="76"/>
      <c r="O95" s="73"/>
      <c r="P95" s="75"/>
      <c r="Q95" s="74"/>
      <c r="R95" s="60"/>
      <c r="S95" s="75"/>
      <c r="T95" s="77"/>
      <c r="U95" s="75"/>
      <c r="V95" s="68"/>
      <c r="W95" s="68"/>
      <c r="X95" s="68"/>
      <c r="Y95" s="68"/>
      <c r="Z95" s="68"/>
      <c r="AA95" s="68"/>
      <c r="AB95" s="68"/>
      <c r="AC95" s="68"/>
    </row>
    <row r="96" spans="1:29" x14ac:dyDescent="0.2">
      <c r="A96" s="68"/>
      <c r="B96" s="68"/>
      <c r="C96" s="68"/>
      <c r="D96" s="68"/>
      <c r="E96" s="68"/>
      <c r="F96" s="68"/>
      <c r="G96" s="68"/>
      <c r="H96" s="62"/>
      <c r="I96" s="76"/>
      <c r="J96" s="73"/>
      <c r="K96" s="74"/>
      <c r="L96" s="74"/>
      <c r="M96" s="62"/>
      <c r="N96" s="76"/>
      <c r="O96" s="73"/>
      <c r="P96" s="75"/>
      <c r="Q96" s="74"/>
      <c r="R96" s="60"/>
      <c r="S96" s="75"/>
      <c r="T96" s="77"/>
      <c r="U96" s="75"/>
      <c r="V96" s="68"/>
      <c r="W96" s="68"/>
      <c r="X96" s="68"/>
      <c r="Y96" s="68"/>
      <c r="Z96" s="68"/>
      <c r="AA96" s="68"/>
      <c r="AB96" s="68"/>
      <c r="AC96" s="68"/>
    </row>
    <row r="97" spans="1:29" ht="12.75" thickBot="1" x14ac:dyDescent="0.25">
      <c r="A97" s="68"/>
      <c r="B97" s="68"/>
      <c r="C97" s="68"/>
      <c r="D97" s="68"/>
      <c r="E97" s="68"/>
      <c r="F97" s="68"/>
      <c r="G97" s="68"/>
      <c r="H97" s="62"/>
      <c r="I97" s="76"/>
      <c r="J97" s="73"/>
      <c r="K97" s="74"/>
      <c r="L97" s="74"/>
      <c r="M97" s="62"/>
      <c r="N97" s="76"/>
      <c r="O97" s="73"/>
      <c r="P97" s="75"/>
      <c r="Q97" s="74"/>
      <c r="R97" s="60"/>
      <c r="S97" s="75"/>
      <c r="T97" s="77"/>
      <c r="U97" s="75"/>
      <c r="V97" s="68"/>
      <c r="W97" s="68"/>
      <c r="X97" s="68"/>
      <c r="Y97" s="68"/>
      <c r="Z97" s="68"/>
      <c r="AA97" s="68"/>
      <c r="AB97" s="68"/>
      <c r="AC97" s="68"/>
    </row>
    <row r="98" spans="1:29" ht="13.5" customHeight="1" thickBot="1" x14ac:dyDescent="0.25">
      <c r="A98" s="773" t="s">
        <v>170</v>
      </c>
      <c r="B98" s="774"/>
      <c r="C98" s="774"/>
      <c r="D98" s="774"/>
      <c r="E98" s="774"/>
      <c r="F98" s="774"/>
      <c r="G98" s="774"/>
      <c r="H98" s="774"/>
      <c r="I98" s="774"/>
      <c r="J98" s="774"/>
      <c r="K98" s="774"/>
      <c r="L98" s="774"/>
      <c r="M98" s="774"/>
      <c r="N98" s="774"/>
      <c r="O98" s="774"/>
      <c r="P98" s="774"/>
      <c r="Q98" s="774"/>
      <c r="R98" s="774"/>
      <c r="S98" s="774"/>
      <c r="T98" s="774"/>
      <c r="U98" s="774"/>
      <c r="V98" s="774"/>
      <c r="W98" s="774"/>
      <c r="X98" s="774"/>
      <c r="Y98" s="774"/>
      <c r="Z98" s="774"/>
      <c r="AA98" s="774"/>
      <c r="AB98" s="774"/>
      <c r="AC98" s="775"/>
    </row>
    <row r="99" spans="1:29" x14ac:dyDescent="0.2">
      <c r="A99" s="111" t="s">
        <v>171</v>
      </c>
      <c r="B99" s="112">
        <f>MIN(100,B101+$B105)</f>
        <v>41.766866457937404</v>
      </c>
      <c r="C99" s="112">
        <f t="shared" ref="C99:AC99" si="62">MIN(100,C101+$B105)</f>
        <v>41.766866457937404</v>
      </c>
      <c r="D99" s="112">
        <f t="shared" si="62"/>
        <v>41.766866457937404</v>
      </c>
      <c r="E99" s="112">
        <f t="shared" si="62"/>
        <v>41.766866457937404</v>
      </c>
      <c r="F99" s="112">
        <f t="shared" si="62"/>
        <v>41.766866457937404</v>
      </c>
      <c r="G99" s="112">
        <f t="shared" si="62"/>
        <v>41.766866457937404</v>
      </c>
      <c r="H99" s="112">
        <f t="shared" si="62"/>
        <v>41.766866457937404</v>
      </c>
      <c r="I99" s="112">
        <f t="shared" si="62"/>
        <v>56.766866457937404</v>
      </c>
      <c r="J99" s="112">
        <f t="shared" si="62"/>
        <v>78.766866457937397</v>
      </c>
      <c r="K99" s="112">
        <f t="shared" si="62"/>
        <v>96.766866457937397</v>
      </c>
      <c r="L99" s="112">
        <f t="shared" si="62"/>
        <v>100</v>
      </c>
      <c r="M99" s="112">
        <f t="shared" si="62"/>
        <v>100</v>
      </c>
      <c r="N99" s="112">
        <f t="shared" si="62"/>
        <v>100</v>
      </c>
      <c r="O99" s="112">
        <f t="shared" si="62"/>
        <v>100</v>
      </c>
      <c r="P99" s="112">
        <f t="shared" si="62"/>
        <v>100</v>
      </c>
      <c r="Q99" s="112">
        <f t="shared" si="62"/>
        <v>100</v>
      </c>
      <c r="R99" s="112">
        <f t="shared" si="62"/>
        <v>100</v>
      </c>
      <c r="S99" s="112">
        <f t="shared" si="62"/>
        <v>100</v>
      </c>
      <c r="T99" s="112">
        <f t="shared" si="62"/>
        <v>100</v>
      </c>
      <c r="U99" s="112">
        <f t="shared" si="62"/>
        <v>100</v>
      </c>
      <c r="V99" s="112">
        <f t="shared" si="62"/>
        <v>100</v>
      </c>
      <c r="W99" s="112">
        <f t="shared" si="62"/>
        <v>100</v>
      </c>
      <c r="X99" s="112">
        <f t="shared" si="62"/>
        <v>100</v>
      </c>
      <c r="Y99" s="112">
        <f t="shared" si="62"/>
        <v>100</v>
      </c>
      <c r="Z99" s="112">
        <f t="shared" si="62"/>
        <v>100</v>
      </c>
      <c r="AA99" s="112">
        <f t="shared" si="62"/>
        <v>100</v>
      </c>
      <c r="AB99" s="113">
        <f t="shared" si="62"/>
        <v>100</v>
      </c>
      <c r="AC99" s="113">
        <f t="shared" si="62"/>
        <v>66.766866457937397</v>
      </c>
    </row>
    <row r="100" spans="1:29" x14ac:dyDescent="0.2">
      <c r="A100" s="54" t="s">
        <v>172</v>
      </c>
      <c r="B100" s="55">
        <f>MIN(100,B101+$B106)</f>
        <v>23.383433228968702</v>
      </c>
      <c r="C100" s="55">
        <f t="shared" ref="C100:AC100" si="63">MIN(100,C101+$B106)</f>
        <v>23.383433228968702</v>
      </c>
      <c r="D100" s="55">
        <f t="shared" si="63"/>
        <v>23.383433228968702</v>
      </c>
      <c r="E100" s="55">
        <f t="shared" si="63"/>
        <v>23.383433228968702</v>
      </c>
      <c r="F100" s="55">
        <f t="shared" si="63"/>
        <v>23.383433228968702</v>
      </c>
      <c r="G100" s="55">
        <f t="shared" si="63"/>
        <v>23.383433228968702</v>
      </c>
      <c r="H100" s="55">
        <f t="shared" si="63"/>
        <v>23.383433228968702</v>
      </c>
      <c r="I100" s="55">
        <f t="shared" si="63"/>
        <v>38.383433228968698</v>
      </c>
      <c r="J100" s="55">
        <f t="shared" si="63"/>
        <v>60.383433228968698</v>
      </c>
      <c r="K100" s="55">
        <f t="shared" si="63"/>
        <v>78.383433228968698</v>
      </c>
      <c r="L100" s="55">
        <f t="shared" si="63"/>
        <v>88.383433228968698</v>
      </c>
      <c r="M100" s="55">
        <f t="shared" si="63"/>
        <v>88.383433228968698</v>
      </c>
      <c r="N100" s="55">
        <f t="shared" si="63"/>
        <v>98.383433228968698</v>
      </c>
      <c r="O100" s="55">
        <f t="shared" si="63"/>
        <v>98.383433228968698</v>
      </c>
      <c r="P100" s="55">
        <f t="shared" si="63"/>
        <v>98.383433228968698</v>
      </c>
      <c r="Q100" s="55">
        <f t="shared" si="63"/>
        <v>98.383433228968698</v>
      </c>
      <c r="R100" s="55">
        <f t="shared" si="63"/>
        <v>100</v>
      </c>
      <c r="S100" s="55">
        <f t="shared" si="63"/>
        <v>100</v>
      </c>
      <c r="T100" s="55">
        <f t="shared" si="63"/>
        <v>100</v>
      </c>
      <c r="U100" s="55">
        <f t="shared" si="63"/>
        <v>100</v>
      </c>
      <c r="V100" s="55">
        <f t="shared" si="63"/>
        <v>100</v>
      </c>
      <c r="W100" s="55">
        <f t="shared" si="63"/>
        <v>100</v>
      </c>
      <c r="X100" s="55">
        <f t="shared" si="63"/>
        <v>98.383433228968698</v>
      </c>
      <c r="Y100" s="55">
        <f t="shared" si="63"/>
        <v>98.383433228968698</v>
      </c>
      <c r="Z100" s="55">
        <f t="shared" si="63"/>
        <v>98.383433228968698</v>
      </c>
      <c r="AA100" s="55">
        <f t="shared" si="63"/>
        <v>98.383433228968698</v>
      </c>
      <c r="AB100" s="56">
        <f t="shared" si="63"/>
        <v>98.383433228968698</v>
      </c>
      <c r="AC100" s="56">
        <f t="shared" si="63"/>
        <v>48.383433228968698</v>
      </c>
    </row>
    <row r="101" spans="1:29" x14ac:dyDescent="0.2">
      <c r="A101" s="54" t="s">
        <v>173</v>
      </c>
      <c r="B101" s="69">
        <v>5</v>
      </c>
      <c r="C101" s="69">
        <v>5</v>
      </c>
      <c r="D101" s="69">
        <v>5</v>
      </c>
      <c r="E101" s="69">
        <v>5</v>
      </c>
      <c r="F101" s="69">
        <v>5</v>
      </c>
      <c r="G101" s="69">
        <v>5</v>
      </c>
      <c r="H101" s="69">
        <v>5</v>
      </c>
      <c r="I101" s="69">
        <v>20</v>
      </c>
      <c r="J101" s="69">
        <v>42</v>
      </c>
      <c r="K101" s="69">
        <v>60</v>
      </c>
      <c r="L101" s="69">
        <v>70</v>
      </c>
      <c r="M101" s="69">
        <v>70</v>
      </c>
      <c r="N101" s="69">
        <v>80</v>
      </c>
      <c r="O101" s="69">
        <v>80</v>
      </c>
      <c r="P101" s="69">
        <v>80</v>
      </c>
      <c r="Q101" s="69">
        <v>80</v>
      </c>
      <c r="R101" s="69">
        <v>100</v>
      </c>
      <c r="S101" s="69">
        <v>100</v>
      </c>
      <c r="T101" s="69">
        <v>100</v>
      </c>
      <c r="U101" s="69">
        <v>100</v>
      </c>
      <c r="V101" s="69">
        <v>100</v>
      </c>
      <c r="W101" s="69">
        <v>100</v>
      </c>
      <c r="X101" s="69">
        <v>80</v>
      </c>
      <c r="Y101" s="69">
        <v>80</v>
      </c>
      <c r="Z101" s="69">
        <v>80</v>
      </c>
      <c r="AA101" s="69">
        <v>80</v>
      </c>
      <c r="AB101" s="70">
        <v>80</v>
      </c>
      <c r="AC101" s="70">
        <v>30</v>
      </c>
    </row>
    <row r="102" spans="1:29" x14ac:dyDescent="0.2">
      <c r="A102" s="54" t="s">
        <v>174</v>
      </c>
      <c r="B102" s="55">
        <f>MIN(80,IF(B$13="Deploy",80,MAX(0,B101-$B106)))</f>
        <v>0</v>
      </c>
      <c r="C102" s="55">
        <f t="shared" ref="C102:AC102" si="64">MIN(80,IF(C$13="Deploy",80,MAX(0,C101-$B106)))</f>
        <v>0</v>
      </c>
      <c r="D102" s="55">
        <f t="shared" si="64"/>
        <v>0</v>
      </c>
      <c r="E102" s="55">
        <f t="shared" si="64"/>
        <v>0</v>
      </c>
      <c r="F102" s="55">
        <f t="shared" si="64"/>
        <v>0</v>
      </c>
      <c r="G102" s="55">
        <f t="shared" si="64"/>
        <v>0</v>
      </c>
      <c r="H102" s="55">
        <f t="shared" si="64"/>
        <v>0</v>
      </c>
      <c r="I102" s="55">
        <f t="shared" si="64"/>
        <v>1.6165667710312981</v>
      </c>
      <c r="J102" s="55">
        <f t="shared" si="64"/>
        <v>23.616566771031298</v>
      </c>
      <c r="K102" s="55">
        <f t="shared" si="64"/>
        <v>41.616566771031302</v>
      </c>
      <c r="L102" s="55">
        <f t="shared" si="64"/>
        <v>51.616566771031302</v>
      </c>
      <c r="M102" s="55">
        <f t="shared" si="64"/>
        <v>51.616566771031302</v>
      </c>
      <c r="N102" s="55">
        <f t="shared" si="64"/>
        <v>61.616566771031302</v>
      </c>
      <c r="O102" s="55">
        <f t="shared" si="64"/>
        <v>61.616566771031302</v>
      </c>
      <c r="P102" s="55">
        <f t="shared" si="64"/>
        <v>61.616566771031302</v>
      </c>
      <c r="Q102" s="55">
        <f t="shared" si="64"/>
        <v>61.616566771031302</v>
      </c>
      <c r="R102" s="55">
        <f t="shared" si="64"/>
        <v>80</v>
      </c>
      <c r="S102" s="55">
        <f t="shared" si="64"/>
        <v>80</v>
      </c>
      <c r="T102" s="55">
        <f t="shared" si="64"/>
        <v>80</v>
      </c>
      <c r="U102" s="55">
        <f t="shared" si="64"/>
        <v>80</v>
      </c>
      <c r="V102" s="55">
        <f t="shared" si="64"/>
        <v>80</v>
      </c>
      <c r="W102" s="55">
        <f t="shared" si="64"/>
        <v>80</v>
      </c>
      <c r="X102" s="55">
        <f t="shared" si="64"/>
        <v>61.616566771031302</v>
      </c>
      <c r="Y102" s="55">
        <f t="shared" si="64"/>
        <v>61.616566771031302</v>
      </c>
      <c r="Z102" s="55">
        <f t="shared" si="64"/>
        <v>61.616566771031302</v>
      </c>
      <c r="AA102" s="55">
        <f t="shared" si="64"/>
        <v>61.616566771031302</v>
      </c>
      <c r="AB102" s="56">
        <f t="shared" si="64"/>
        <v>61.616566771031302</v>
      </c>
      <c r="AC102" s="56">
        <f t="shared" si="64"/>
        <v>11.616566771031298</v>
      </c>
    </row>
    <row r="103" spans="1:29" ht="12.75" thickBot="1" x14ac:dyDescent="0.25">
      <c r="A103" s="57" t="s">
        <v>175</v>
      </c>
      <c r="B103" s="58">
        <f>MIN(80,IF(B$13="Deploy",60,MAX(0,B101-$B105)))</f>
        <v>0</v>
      </c>
      <c r="C103" s="58">
        <f t="shared" ref="C103:AB103" si="65">MIN(80,IF(C$13="Deploy",60,MAX(0,C101-$B105)))</f>
        <v>0</v>
      </c>
      <c r="D103" s="58">
        <f t="shared" si="65"/>
        <v>0</v>
      </c>
      <c r="E103" s="58">
        <f t="shared" si="65"/>
        <v>0</v>
      </c>
      <c r="F103" s="58">
        <f t="shared" si="65"/>
        <v>0</v>
      </c>
      <c r="G103" s="58">
        <f t="shared" si="65"/>
        <v>0</v>
      </c>
      <c r="H103" s="58">
        <f t="shared" si="65"/>
        <v>0</v>
      </c>
      <c r="I103" s="58">
        <f t="shared" si="65"/>
        <v>0</v>
      </c>
      <c r="J103" s="58">
        <f t="shared" si="65"/>
        <v>5.2331335420625962</v>
      </c>
      <c r="K103" s="58">
        <f t="shared" si="65"/>
        <v>23.233133542062596</v>
      </c>
      <c r="L103" s="58">
        <f t="shared" si="65"/>
        <v>33.233133542062596</v>
      </c>
      <c r="M103" s="58">
        <f t="shared" si="65"/>
        <v>33.233133542062596</v>
      </c>
      <c r="N103" s="58">
        <f t="shared" si="65"/>
        <v>43.233133542062596</v>
      </c>
      <c r="O103" s="58">
        <f t="shared" si="65"/>
        <v>43.233133542062596</v>
      </c>
      <c r="P103" s="58">
        <f t="shared" si="65"/>
        <v>43.233133542062596</v>
      </c>
      <c r="Q103" s="58">
        <f t="shared" si="65"/>
        <v>43.233133542062596</v>
      </c>
      <c r="R103" s="58">
        <f t="shared" si="65"/>
        <v>60</v>
      </c>
      <c r="S103" s="58">
        <f t="shared" si="65"/>
        <v>60</v>
      </c>
      <c r="T103" s="58">
        <f t="shared" si="65"/>
        <v>60</v>
      </c>
      <c r="U103" s="58">
        <f t="shared" si="65"/>
        <v>60</v>
      </c>
      <c r="V103" s="58">
        <f t="shared" si="65"/>
        <v>60</v>
      </c>
      <c r="W103" s="58">
        <f t="shared" si="65"/>
        <v>60</v>
      </c>
      <c r="X103" s="58">
        <f t="shared" si="65"/>
        <v>43.233133542062596</v>
      </c>
      <c r="Y103" s="58">
        <f t="shared" si="65"/>
        <v>43.233133542062596</v>
      </c>
      <c r="Z103" s="58">
        <f t="shared" si="65"/>
        <v>43.233133542062596</v>
      </c>
      <c r="AA103" s="58">
        <f t="shared" si="65"/>
        <v>43.233133542062596</v>
      </c>
      <c r="AB103" s="59">
        <f t="shared" si="65"/>
        <v>43.233133542062596</v>
      </c>
      <c r="AC103" s="59">
        <f>MIN(80,IF(AC$13="Deploy",60,MAX(0,AC101-$B105)))</f>
        <v>0</v>
      </c>
    </row>
    <row r="104" spans="1:29" ht="12.75" thickBot="1" x14ac:dyDescent="0.25">
      <c r="A104" s="219" t="s">
        <v>176</v>
      </c>
      <c r="B104" s="220">
        <v>37</v>
      </c>
      <c r="C104" s="220">
        <v>37</v>
      </c>
      <c r="D104" s="220">
        <v>37</v>
      </c>
      <c r="E104" s="220">
        <v>37</v>
      </c>
      <c r="F104" s="220">
        <v>37</v>
      </c>
      <c r="G104" s="220">
        <v>37</v>
      </c>
      <c r="H104" s="220">
        <v>46</v>
      </c>
      <c r="I104" s="220">
        <v>54</v>
      </c>
      <c r="J104" s="220">
        <v>61</v>
      </c>
      <c r="K104" s="220">
        <v>63</v>
      </c>
      <c r="L104" s="220">
        <v>75</v>
      </c>
      <c r="M104" s="220">
        <v>85</v>
      </c>
      <c r="N104" s="220">
        <v>85</v>
      </c>
      <c r="O104" s="220">
        <v>85</v>
      </c>
      <c r="P104" s="220">
        <v>85</v>
      </c>
      <c r="Q104" s="220">
        <v>85</v>
      </c>
      <c r="R104" s="220">
        <v>100</v>
      </c>
      <c r="S104" s="220">
        <v>100</v>
      </c>
      <c r="T104" s="220">
        <v>100</v>
      </c>
      <c r="U104" s="220">
        <v>100</v>
      </c>
      <c r="V104" s="220">
        <v>100</v>
      </c>
      <c r="W104" s="220">
        <v>100</v>
      </c>
      <c r="X104" s="220">
        <v>94</v>
      </c>
      <c r="Y104" s="220">
        <v>91</v>
      </c>
      <c r="Z104" s="220">
        <v>85</v>
      </c>
      <c r="AA104" s="220">
        <v>84</v>
      </c>
      <c r="AB104" s="223">
        <v>81</v>
      </c>
      <c r="AC104" s="222">
        <v>30</v>
      </c>
    </row>
    <row r="105" spans="1:29" s="72" customFormat="1" x14ac:dyDescent="0.2">
      <c r="A105" s="78" t="s">
        <v>177</v>
      </c>
      <c r="B105" s="79">
        <f t="array" ref="B105">SQRT(SUM(POWER(AVERAGE(B101:AB101)-(B101:AB101),2))/COUNT(B101:AB101))*1</f>
        <v>36.766866457937404</v>
      </c>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row>
    <row r="106" spans="1:29" s="72" customFormat="1" ht="12.75" thickBot="1" x14ac:dyDescent="0.25">
      <c r="A106" s="80" t="s">
        <v>178</v>
      </c>
      <c r="B106" s="81">
        <f>B105/2</f>
        <v>18.383433228968702</v>
      </c>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row>
    <row r="107" spans="1:29" s="72" customFormat="1" ht="12.75" thickBot="1" x14ac:dyDescent="0.2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row>
    <row r="108" spans="1:29" s="72" customFormat="1" ht="12.75" thickBot="1" x14ac:dyDescent="0.25">
      <c r="A108" s="776" t="s">
        <v>179</v>
      </c>
      <c r="B108" s="777"/>
      <c r="C108" s="28"/>
      <c r="D108" s="61"/>
      <c r="E108" s="61"/>
      <c r="F108" s="61"/>
      <c r="G108" s="61"/>
      <c r="H108" s="61"/>
      <c r="I108" s="28"/>
      <c r="J108" s="28"/>
      <c r="K108" s="28"/>
      <c r="L108" s="28"/>
      <c r="M108" s="28"/>
      <c r="N108" s="28"/>
      <c r="O108" s="28"/>
      <c r="P108" s="28"/>
      <c r="Q108" s="28"/>
      <c r="R108" s="28"/>
      <c r="S108" s="28"/>
      <c r="T108" s="28"/>
      <c r="U108" s="28"/>
      <c r="V108" s="28"/>
      <c r="W108" s="28"/>
      <c r="X108" s="28"/>
      <c r="Y108" s="28"/>
      <c r="Z108" s="28"/>
      <c r="AA108" s="28"/>
      <c r="AB108" s="28"/>
      <c r="AC108" s="28"/>
    </row>
    <row r="109" spans="1:29" s="72" customFormat="1" ht="12.75" thickBot="1" x14ac:dyDescent="0.25">
      <c r="A109" s="778" t="s">
        <v>180</v>
      </c>
      <c r="B109" s="779"/>
      <c r="C109" s="28"/>
      <c r="D109" s="61"/>
      <c r="E109" s="61"/>
      <c r="F109" s="61"/>
      <c r="G109" s="61"/>
      <c r="H109" s="61"/>
      <c r="I109" s="28"/>
      <c r="J109" s="28"/>
      <c r="K109" s="28"/>
      <c r="L109" s="28"/>
      <c r="M109" s="28"/>
      <c r="N109" s="28"/>
      <c r="O109" s="28"/>
      <c r="P109" s="28"/>
      <c r="Q109" s="28"/>
      <c r="R109" s="28"/>
      <c r="S109" s="28"/>
      <c r="T109" s="28"/>
      <c r="U109" s="28"/>
      <c r="V109" s="28"/>
      <c r="W109" s="28"/>
      <c r="X109" s="28"/>
      <c r="Y109" s="28"/>
      <c r="Z109" s="28"/>
      <c r="AA109" s="28"/>
      <c r="AB109" s="28"/>
      <c r="AC109" s="28"/>
    </row>
    <row r="110" spans="1:29" s="72" customFormat="1" x14ac:dyDescent="0.2">
      <c r="A110" s="281" t="s">
        <v>181</v>
      </c>
      <c r="B110" s="119">
        <v>9</v>
      </c>
      <c r="C110" s="28"/>
      <c r="D110" s="60"/>
      <c r="E110" s="28"/>
      <c r="F110" s="28"/>
      <c r="G110" s="28"/>
      <c r="H110" s="28"/>
      <c r="I110" s="28"/>
      <c r="J110" s="28"/>
      <c r="K110" s="28"/>
      <c r="L110" s="28"/>
      <c r="M110" s="28"/>
      <c r="P110" s="28"/>
      <c r="Q110" s="28"/>
      <c r="R110" s="28"/>
      <c r="S110" s="28"/>
      <c r="T110" s="28"/>
      <c r="U110" s="28"/>
      <c r="V110" s="28"/>
      <c r="W110" s="28"/>
      <c r="X110" s="28"/>
      <c r="Y110" s="28"/>
      <c r="Z110" s="28"/>
      <c r="AA110" s="28"/>
      <c r="AB110" s="28"/>
      <c r="AC110" s="28"/>
    </row>
    <row r="111" spans="1:29" s="72" customFormat="1" x14ac:dyDescent="0.2">
      <c r="A111" s="282" t="s">
        <v>182</v>
      </c>
      <c r="B111" s="91">
        <v>9</v>
      </c>
      <c r="C111" s="28"/>
      <c r="D111" s="60"/>
      <c r="E111" s="28"/>
      <c r="F111" s="28"/>
      <c r="G111" s="28"/>
      <c r="H111" s="28"/>
      <c r="I111" s="28"/>
      <c r="J111" s="28"/>
      <c r="K111" s="28"/>
      <c r="L111" s="28"/>
      <c r="M111" s="28"/>
      <c r="N111" s="283"/>
      <c r="O111" s="28"/>
      <c r="P111" s="28"/>
      <c r="Q111" s="28"/>
      <c r="R111" s="28"/>
      <c r="S111" s="28"/>
      <c r="T111" s="28"/>
      <c r="U111" s="28"/>
      <c r="V111" s="28"/>
      <c r="W111" s="28"/>
      <c r="X111" s="28"/>
      <c r="Y111" s="28"/>
      <c r="Z111" s="28"/>
      <c r="AA111" s="28"/>
      <c r="AB111" s="28"/>
      <c r="AC111" s="28"/>
    </row>
    <row r="112" spans="1:29" s="72" customFormat="1" x14ac:dyDescent="0.2">
      <c r="A112" s="282" t="s">
        <v>183</v>
      </c>
      <c r="B112" s="120" t="s">
        <v>193</v>
      </c>
      <c r="C112" s="28"/>
      <c r="D112" s="60"/>
      <c r="E112" s="283"/>
      <c r="F112" s="28"/>
      <c r="G112" s="28"/>
      <c r="H112" s="61"/>
      <c r="I112" s="28"/>
      <c r="J112" s="28"/>
      <c r="K112" s="28"/>
      <c r="L112" s="28"/>
      <c r="M112" s="28"/>
      <c r="P112" s="28"/>
      <c r="Q112" s="28"/>
      <c r="R112" s="28"/>
      <c r="S112" s="28"/>
      <c r="T112" s="28"/>
      <c r="U112" s="28"/>
      <c r="V112" s="28"/>
      <c r="W112" s="28"/>
      <c r="X112" s="28"/>
      <c r="Y112" s="28"/>
      <c r="Z112" s="28"/>
      <c r="AA112" s="28"/>
      <c r="AB112" s="28"/>
      <c r="AC112" s="28"/>
    </row>
    <row r="113" spans="1:29" s="72" customFormat="1" x14ac:dyDescent="0.2">
      <c r="A113" s="282" t="s">
        <v>184</v>
      </c>
      <c r="B113" s="91">
        <v>1</v>
      </c>
      <c r="C113" s="28"/>
      <c r="E113" s="283"/>
      <c r="F113" s="28"/>
      <c r="G113" s="28"/>
      <c r="H113" s="28"/>
      <c r="I113" s="28"/>
      <c r="J113" s="28"/>
      <c r="K113" s="28"/>
      <c r="L113" s="28"/>
      <c r="M113" s="28"/>
      <c r="P113" s="28"/>
      <c r="Q113" s="28"/>
      <c r="R113" s="28"/>
      <c r="S113" s="28"/>
      <c r="T113" s="28"/>
      <c r="U113" s="28"/>
      <c r="V113" s="28"/>
      <c r="W113" s="28"/>
      <c r="X113" s="28"/>
      <c r="Y113" s="28"/>
      <c r="Z113" s="28"/>
      <c r="AA113" s="28"/>
      <c r="AB113" s="28"/>
      <c r="AC113" s="28"/>
    </row>
    <row r="114" spans="1:29" s="72" customFormat="1" x14ac:dyDescent="0.2">
      <c r="A114" s="282" t="s">
        <v>185</v>
      </c>
      <c r="B114" s="120">
        <v>2</v>
      </c>
      <c r="C114" s="28"/>
      <c r="D114" s="62"/>
      <c r="E114" s="283"/>
      <c r="F114" s="28"/>
      <c r="G114" s="61"/>
      <c r="H114" s="61"/>
      <c r="I114" s="28"/>
      <c r="J114" s="28"/>
      <c r="K114" s="28"/>
      <c r="L114" s="28"/>
      <c r="M114" s="28"/>
      <c r="P114" s="28"/>
      <c r="Q114" s="28"/>
      <c r="R114" s="28"/>
      <c r="S114" s="28"/>
      <c r="T114" s="28"/>
      <c r="U114" s="28"/>
      <c r="V114" s="28"/>
      <c r="W114" s="28"/>
      <c r="X114" s="28"/>
      <c r="Y114" s="28"/>
      <c r="Z114" s="28"/>
      <c r="AA114" s="28"/>
      <c r="AB114" s="28"/>
      <c r="AC114" s="28"/>
    </row>
    <row r="115" spans="1:29" s="72" customFormat="1" x14ac:dyDescent="0.2">
      <c r="A115" s="282" t="s">
        <v>186</v>
      </c>
      <c r="B115" s="120">
        <v>4</v>
      </c>
      <c r="C115" s="28"/>
      <c r="D115" s="62"/>
      <c r="E115" s="28"/>
      <c r="F115" s="64"/>
      <c r="G115" s="61"/>
      <c r="H115" s="61"/>
      <c r="I115" s="28"/>
      <c r="J115" s="28"/>
      <c r="K115" s="28"/>
      <c r="L115" s="28"/>
      <c r="M115" s="28"/>
      <c r="N115" s="283"/>
      <c r="O115" s="28"/>
      <c r="P115" s="28"/>
      <c r="Q115" s="28"/>
      <c r="R115" s="28"/>
      <c r="S115" s="28"/>
      <c r="T115" s="28"/>
      <c r="U115" s="28"/>
      <c r="V115" s="28"/>
      <c r="W115" s="28"/>
      <c r="X115" s="28"/>
      <c r="Y115" s="28"/>
      <c r="Z115" s="28"/>
      <c r="AA115" s="28"/>
      <c r="AB115" s="28"/>
      <c r="AC115" s="28"/>
    </row>
    <row r="116" spans="1:29" s="72" customFormat="1" x14ac:dyDescent="0.2">
      <c r="A116" s="282" t="s">
        <v>187</v>
      </c>
      <c r="B116" s="120">
        <v>9</v>
      </c>
      <c r="C116" s="28"/>
      <c r="D116" s="62"/>
      <c r="E116" s="28"/>
      <c r="F116" s="60"/>
      <c r="G116" s="61"/>
      <c r="H116" s="28"/>
      <c r="I116" s="28"/>
      <c r="J116" s="28"/>
      <c r="K116" s="28"/>
      <c r="L116" s="28"/>
      <c r="M116" s="28"/>
      <c r="N116" s="283"/>
      <c r="O116" s="28"/>
      <c r="P116" s="28"/>
      <c r="Q116" s="28"/>
      <c r="R116" s="28"/>
      <c r="S116" s="28"/>
      <c r="T116" s="28"/>
      <c r="U116" s="28"/>
      <c r="V116" s="28"/>
      <c r="W116" s="28"/>
      <c r="X116" s="28"/>
      <c r="Y116" s="28"/>
      <c r="Z116" s="28"/>
      <c r="AA116" s="28"/>
      <c r="AB116" s="28"/>
      <c r="AC116" s="28"/>
    </row>
    <row r="117" spans="1:29" s="72" customFormat="1" x14ac:dyDescent="0.2">
      <c r="A117" s="282" t="s">
        <v>188</v>
      </c>
      <c r="B117" s="91">
        <v>1</v>
      </c>
      <c r="C117" s="28"/>
      <c r="D117" s="62"/>
      <c r="E117" s="28"/>
      <c r="F117" s="60"/>
      <c r="G117" s="61"/>
      <c r="H117" s="61"/>
      <c r="I117" s="28"/>
      <c r="J117" s="28"/>
      <c r="K117" s="28"/>
      <c r="L117" s="28"/>
      <c r="M117" s="28"/>
      <c r="P117" s="28"/>
      <c r="Q117" s="28"/>
      <c r="R117" s="28"/>
      <c r="S117" s="28"/>
      <c r="T117" s="28"/>
      <c r="U117" s="28"/>
      <c r="V117" s="28"/>
      <c r="W117" s="28"/>
      <c r="X117" s="28"/>
      <c r="Y117" s="28"/>
      <c r="Z117" s="28"/>
      <c r="AA117" s="28"/>
      <c r="AB117" s="28"/>
      <c r="AC117" s="28"/>
    </row>
    <row r="118" spans="1:29" s="72" customFormat="1" x14ac:dyDescent="0.2">
      <c r="A118" s="282" t="s">
        <v>189</v>
      </c>
      <c r="B118" s="91">
        <v>1</v>
      </c>
      <c r="C118" s="28"/>
      <c r="D118" s="60"/>
      <c r="E118" s="283"/>
      <c r="F118" s="28"/>
      <c r="G118" s="61"/>
      <c r="H118" s="61"/>
      <c r="I118" s="28"/>
      <c r="J118" s="28"/>
      <c r="K118" s="28"/>
      <c r="L118" s="28"/>
      <c r="M118" s="28"/>
      <c r="P118" s="28"/>
      <c r="Q118" s="28"/>
      <c r="R118" s="28"/>
      <c r="S118" s="28"/>
      <c r="T118" s="28"/>
      <c r="U118" s="28"/>
      <c r="V118" s="28"/>
      <c r="W118" s="28"/>
      <c r="X118" s="28"/>
      <c r="Y118" s="28"/>
      <c r="Z118" s="28"/>
      <c r="AA118" s="28"/>
      <c r="AB118" s="28"/>
      <c r="AC118" s="28"/>
    </row>
    <row r="119" spans="1:29" s="72" customFormat="1" x14ac:dyDescent="0.2">
      <c r="A119" s="282" t="s">
        <v>190</v>
      </c>
      <c r="B119" s="91">
        <v>2</v>
      </c>
      <c r="C119" s="28"/>
      <c r="D119" s="60"/>
      <c r="E119" s="283"/>
      <c r="F119" s="28"/>
      <c r="G119" s="61"/>
      <c r="H119" s="61"/>
      <c r="I119" s="28"/>
      <c r="J119" s="28"/>
      <c r="K119" s="28"/>
      <c r="L119" s="28"/>
      <c r="M119" s="28"/>
      <c r="P119" s="28"/>
      <c r="Q119" s="28"/>
      <c r="R119" s="28"/>
      <c r="S119" s="28"/>
      <c r="T119" s="28"/>
      <c r="U119" s="28"/>
      <c r="V119" s="28"/>
      <c r="W119" s="28"/>
      <c r="X119" s="28"/>
      <c r="Y119" s="28"/>
      <c r="Z119" s="28"/>
      <c r="AA119" s="28"/>
      <c r="AB119" s="28"/>
      <c r="AC119" s="28"/>
    </row>
    <row r="120" spans="1:29" s="72" customFormat="1" x14ac:dyDescent="0.2">
      <c r="A120" s="282" t="s">
        <v>191</v>
      </c>
      <c r="B120" s="91">
        <v>2</v>
      </c>
      <c r="C120" s="28"/>
      <c r="E120" s="283"/>
      <c r="F120" s="28"/>
      <c r="G120" s="61"/>
      <c r="H120" s="28"/>
      <c r="I120" s="28"/>
      <c r="J120" s="28"/>
      <c r="K120" s="28"/>
      <c r="L120" s="28"/>
      <c r="M120" s="28"/>
      <c r="P120" s="28"/>
      <c r="Q120" s="28"/>
      <c r="R120" s="28"/>
      <c r="S120" s="28"/>
      <c r="T120" s="28"/>
      <c r="U120" s="28"/>
      <c r="V120" s="28"/>
      <c r="W120" s="28"/>
      <c r="X120" s="28"/>
      <c r="Y120" s="28"/>
      <c r="Z120" s="28"/>
      <c r="AA120" s="28"/>
      <c r="AB120" s="28"/>
      <c r="AC120" s="28"/>
    </row>
    <row r="121" spans="1:29" s="72" customFormat="1" x14ac:dyDescent="0.2">
      <c r="A121" s="282" t="s">
        <v>192</v>
      </c>
      <c r="B121" s="91" t="s">
        <v>193</v>
      </c>
      <c r="C121" s="28"/>
      <c r="D121" s="62"/>
      <c r="E121" s="283"/>
      <c r="F121" s="28"/>
      <c r="G121" s="61"/>
      <c r="H121" s="61"/>
      <c r="I121" s="28"/>
      <c r="J121" s="28"/>
      <c r="K121" s="28"/>
      <c r="L121" s="28"/>
      <c r="M121" s="28"/>
      <c r="N121" s="283"/>
      <c r="O121" s="28"/>
      <c r="P121" s="28"/>
      <c r="Q121" s="28"/>
      <c r="R121" s="28"/>
      <c r="S121" s="28"/>
      <c r="T121" s="28"/>
      <c r="U121" s="28"/>
      <c r="V121" s="28"/>
      <c r="W121" s="28"/>
      <c r="X121" s="28"/>
      <c r="Y121" s="28"/>
      <c r="Z121" s="28"/>
      <c r="AA121" s="28"/>
      <c r="AB121" s="82"/>
      <c r="AC121" s="82"/>
    </row>
    <row r="122" spans="1:29" s="72" customFormat="1" x14ac:dyDescent="0.2">
      <c r="A122" s="282" t="s">
        <v>194</v>
      </c>
      <c r="B122" s="91" t="s">
        <v>193</v>
      </c>
      <c r="C122" s="28"/>
      <c r="D122" s="62"/>
      <c r="E122" s="28"/>
      <c r="F122" s="75"/>
      <c r="G122" s="61"/>
      <c r="H122" s="61"/>
      <c r="I122" s="28"/>
      <c r="J122" s="28"/>
      <c r="K122" s="28"/>
      <c r="L122" s="28"/>
      <c r="M122" s="28"/>
      <c r="N122" s="283"/>
      <c r="O122" s="28"/>
      <c r="P122" s="28"/>
      <c r="Q122" s="28"/>
      <c r="R122" s="28"/>
      <c r="S122" s="28"/>
      <c r="T122" s="28"/>
      <c r="U122" s="28"/>
      <c r="V122" s="28"/>
      <c r="W122" s="28"/>
      <c r="X122" s="28"/>
      <c r="Y122" s="28"/>
      <c r="Z122" s="28"/>
      <c r="AA122" s="28"/>
      <c r="AB122" s="28"/>
      <c r="AC122" s="28"/>
    </row>
    <row r="123" spans="1:29" s="72" customFormat="1" x14ac:dyDescent="0.2">
      <c r="A123" s="282" t="s">
        <v>195</v>
      </c>
      <c r="B123" s="120" t="s">
        <v>193</v>
      </c>
      <c r="C123" s="28"/>
      <c r="D123" s="62"/>
      <c r="E123" s="28"/>
      <c r="F123" s="75"/>
      <c r="G123" s="61"/>
      <c r="H123" s="61"/>
      <c r="I123" s="28"/>
      <c r="J123" s="28"/>
      <c r="K123" s="28"/>
      <c r="L123" s="28"/>
      <c r="M123" s="28"/>
      <c r="P123" s="28"/>
      <c r="Q123" s="28"/>
      <c r="R123" s="28"/>
      <c r="S123" s="28"/>
      <c r="T123" s="28"/>
      <c r="U123" s="28"/>
      <c r="V123" s="28"/>
      <c r="W123" s="28"/>
      <c r="X123" s="28"/>
      <c r="Y123" s="28"/>
      <c r="Z123" s="28"/>
      <c r="AA123" s="28"/>
      <c r="AB123" s="28"/>
      <c r="AC123" s="28"/>
    </row>
    <row r="124" spans="1:29" s="72" customFormat="1" x14ac:dyDescent="0.2">
      <c r="A124" s="282" t="s">
        <v>196</v>
      </c>
      <c r="B124" s="91" t="s">
        <v>193</v>
      </c>
      <c r="C124" s="28"/>
      <c r="E124" s="283"/>
      <c r="F124" s="28"/>
      <c r="G124" s="28"/>
      <c r="H124" s="28"/>
      <c r="I124" s="28"/>
      <c r="J124" s="28"/>
      <c r="K124" s="28"/>
      <c r="L124" s="28"/>
      <c r="M124" s="28"/>
      <c r="P124" s="28"/>
      <c r="Q124" s="28"/>
      <c r="R124" s="28"/>
      <c r="S124" s="28"/>
      <c r="T124" s="28"/>
      <c r="U124" s="28"/>
      <c r="V124" s="28"/>
      <c r="W124" s="28"/>
      <c r="X124" s="28"/>
      <c r="Y124" s="28"/>
      <c r="Z124" s="28"/>
      <c r="AA124" s="28"/>
      <c r="AB124" s="28"/>
      <c r="AC124" s="28"/>
    </row>
    <row r="125" spans="1:29" s="72" customFormat="1" x14ac:dyDescent="0.2">
      <c r="A125" s="282" t="s">
        <v>197</v>
      </c>
      <c r="B125" s="91" t="s">
        <v>193</v>
      </c>
      <c r="C125" s="28"/>
      <c r="E125" s="283"/>
      <c r="F125" s="28"/>
      <c r="G125" s="28"/>
      <c r="H125" s="28"/>
      <c r="I125" s="28"/>
      <c r="J125" s="28"/>
      <c r="K125" s="28"/>
      <c r="L125" s="28"/>
      <c r="M125" s="28"/>
      <c r="P125" s="28"/>
      <c r="Q125" s="28"/>
      <c r="R125" s="28"/>
      <c r="S125" s="28"/>
      <c r="T125" s="28"/>
      <c r="U125" s="28"/>
      <c r="V125" s="28"/>
      <c r="W125" s="28"/>
      <c r="X125" s="28"/>
      <c r="Y125" s="28"/>
      <c r="Z125" s="28"/>
      <c r="AA125" s="28"/>
      <c r="AB125" s="28"/>
      <c r="AC125" s="28"/>
    </row>
    <row r="126" spans="1:29" s="72" customFormat="1" x14ac:dyDescent="0.2">
      <c r="A126" s="282" t="s">
        <v>198</v>
      </c>
      <c r="B126" s="91">
        <v>1</v>
      </c>
      <c r="C126" s="28"/>
      <c r="E126" s="28"/>
      <c r="F126" s="28"/>
      <c r="G126" s="28"/>
      <c r="H126" s="28"/>
      <c r="I126" s="28"/>
      <c r="J126" s="28"/>
      <c r="K126" s="28"/>
      <c r="L126" s="28"/>
      <c r="M126" s="28"/>
      <c r="P126" s="28"/>
      <c r="Q126" s="28"/>
      <c r="R126" s="28"/>
      <c r="S126" s="28"/>
      <c r="T126" s="28"/>
      <c r="U126" s="28"/>
      <c r="V126" s="28"/>
      <c r="W126" s="28"/>
      <c r="X126" s="28"/>
      <c r="Y126" s="28"/>
      <c r="Z126" s="28"/>
      <c r="AA126" s="28"/>
      <c r="AB126" s="28"/>
      <c r="AC126" s="28"/>
    </row>
    <row r="127" spans="1:29" s="72" customFormat="1" x14ac:dyDescent="0.2">
      <c r="A127" s="282" t="s">
        <v>199</v>
      </c>
      <c r="B127" s="94">
        <v>9</v>
      </c>
      <c r="C127" s="28"/>
      <c r="D127" s="28"/>
      <c r="E127" s="28"/>
      <c r="F127" s="28"/>
      <c r="G127" s="28"/>
      <c r="H127" s="28"/>
      <c r="I127" s="28"/>
      <c r="J127" s="28"/>
      <c r="K127" s="28"/>
      <c r="L127" s="28"/>
      <c r="M127" s="28"/>
      <c r="N127" s="283"/>
      <c r="O127" s="28"/>
      <c r="P127" s="28"/>
      <c r="Q127" s="28"/>
      <c r="R127" s="28"/>
      <c r="S127" s="28"/>
      <c r="T127" s="28"/>
      <c r="U127" s="28"/>
      <c r="V127" s="28"/>
      <c r="W127" s="28"/>
      <c r="X127" s="28"/>
      <c r="Y127" s="28"/>
      <c r="Z127" s="28"/>
      <c r="AA127" s="28"/>
      <c r="AB127" s="28"/>
      <c r="AC127" s="28"/>
    </row>
    <row r="128" spans="1:29" s="72" customFormat="1" x14ac:dyDescent="0.2">
      <c r="A128" s="282" t="s">
        <v>200</v>
      </c>
      <c r="B128" s="94">
        <v>9</v>
      </c>
      <c r="C128" s="28"/>
      <c r="E128" s="283"/>
      <c r="F128" s="28"/>
      <c r="G128" s="28"/>
      <c r="H128" s="28"/>
      <c r="I128" s="28"/>
      <c r="J128" s="28"/>
      <c r="K128" s="28"/>
      <c r="L128" s="28"/>
      <c r="M128" s="28"/>
      <c r="N128" s="283"/>
      <c r="O128" s="28"/>
      <c r="P128" s="28"/>
      <c r="Q128" s="28"/>
      <c r="R128" s="28"/>
      <c r="S128" s="28"/>
      <c r="T128" s="28"/>
      <c r="U128" s="28"/>
      <c r="V128" s="28"/>
      <c r="W128" s="28"/>
      <c r="X128" s="28"/>
      <c r="Y128" s="28"/>
      <c r="Z128" s="28"/>
      <c r="AA128" s="28"/>
      <c r="AB128" s="28"/>
      <c r="AC128" s="28"/>
    </row>
    <row r="129" spans="1:30" s="72" customFormat="1" x14ac:dyDescent="0.2">
      <c r="A129" s="282" t="s">
        <v>201</v>
      </c>
      <c r="B129" s="94">
        <v>1</v>
      </c>
      <c r="C129" s="28"/>
      <c r="D129" s="28"/>
      <c r="E129" s="283"/>
      <c r="F129" s="28"/>
      <c r="G129" s="28"/>
      <c r="H129" s="28"/>
      <c r="I129" s="28"/>
      <c r="J129" s="28"/>
      <c r="K129" s="28"/>
      <c r="L129" s="28"/>
      <c r="M129" s="28"/>
      <c r="N129" s="283"/>
      <c r="O129" s="28"/>
      <c r="P129" s="28"/>
      <c r="Q129" s="28"/>
      <c r="R129" s="28"/>
      <c r="S129" s="28"/>
      <c r="T129" s="28"/>
      <c r="U129" s="28"/>
      <c r="V129" s="28"/>
      <c r="W129" s="28"/>
      <c r="X129" s="28"/>
      <c r="Y129" s="28"/>
      <c r="Z129" s="28"/>
      <c r="AA129" s="28"/>
      <c r="AB129" s="28"/>
      <c r="AC129" s="28"/>
    </row>
    <row r="130" spans="1:30" s="72" customFormat="1" x14ac:dyDescent="0.2">
      <c r="A130" s="282" t="s">
        <v>202</v>
      </c>
      <c r="B130" s="94">
        <v>8</v>
      </c>
      <c r="C130" s="28"/>
      <c r="D130" s="28"/>
      <c r="E130" s="283"/>
      <c r="F130" s="28"/>
      <c r="G130" s="28"/>
      <c r="H130" s="28"/>
      <c r="I130" s="28"/>
      <c r="J130" s="28"/>
      <c r="K130" s="28"/>
      <c r="L130" s="28"/>
      <c r="M130" s="28"/>
      <c r="N130" s="283"/>
      <c r="O130" s="28"/>
      <c r="P130" s="28"/>
      <c r="Q130" s="28"/>
      <c r="R130" s="28"/>
      <c r="S130" s="28"/>
      <c r="T130" s="28"/>
      <c r="U130" s="28"/>
      <c r="V130" s="28"/>
      <c r="W130" s="28"/>
      <c r="X130" s="28"/>
      <c r="Y130" s="28"/>
      <c r="Z130" s="28"/>
      <c r="AA130" s="28"/>
      <c r="AB130" s="28"/>
      <c r="AC130" s="28"/>
    </row>
    <row r="131" spans="1:30" s="72" customFormat="1" x14ac:dyDescent="0.2">
      <c r="A131" s="282" t="s">
        <v>203</v>
      </c>
      <c r="B131" s="120">
        <v>9</v>
      </c>
      <c r="C131" s="28"/>
      <c r="D131" s="60"/>
      <c r="E131" s="283"/>
      <c r="F131" s="28"/>
      <c r="G131" s="28"/>
      <c r="H131" s="28"/>
      <c r="I131" s="28"/>
      <c r="J131" s="28"/>
      <c r="K131" s="28"/>
      <c r="L131" s="28"/>
      <c r="M131" s="28"/>
      <c r="N131" s="283"/>
      <c r="O131" s="28"/>
      <c r="P131" s="28"/>
      <c r="Q131" s="28"/>
      <c r="R131" s="28"/>
      <c r="S131" s="28"/>
      <c r="T131" s="28"/>
      <c r="U131" s="28"/>
      <c r="V131" s="28"/>
      <c r="W131" s="28"/>
      <c r="X131" s="28"/>
      <c r="Y131" s="28"/>
      <c r="Z131" s="28"/>
      <c r="AA131" s="28"/>
      <c r="AB131" s="28"/>
      <c r="AC131" s="28"/>
    </row>
    <row r="132" spans="1:30" s="72" customFormat="1" x14ac:dyDescent="0.2">
      <c r="A132" s="282" t="s">
        <v>204</v>
      </c>
      <c r="B132" s="120">
        <v>2</v>
      </c>
      <c r="C132" s="28"/>
      <c r="D132" s="28"/>
      <c r="E132" s="283"/>
      <c r="F132" s="28"/>
      <c r="G132" s="28"/>
      <c r="H132" s="28"/>
      <c r="I132" s="28"/>
      <c r="J132" s="28"/>
      <c r="K132" s="28"/>
      <c r="L132" s="28"/>
      <c r="M132" s="28"/>
      <c r="N132" s="283"/>
      <c r="O132" s="28"/>
      <c r="P132" s="28"/>
      <c r="Q132" s="28"/>
      <c r="R132" s="28"/>
      <c r="S132" s="28"/>
      <c r="T132" s="28"/>
      <c r="U132" s="28"/>
      <c r="V132" s="28"/>
      <c r="W132" s="28"/>
      <c r="X132" s="28"/>
      <c r="Y132" s="28"/>
      <c r="Z132" s="28"/>
      <c r="AA132" s="28"/>
      <c r="AB132" s="28"/>
      <c r="AC132" s="28"/>
    </row>
    <row r="133" spans="1:30" s="72" customFormat="1" x14ac:dyDescent="0.2">
      <c r="A133" s="282" t="s">
        <v>205</v>
      </c>
      <c r="B133" s="120" t="s">
        <v>193</v>
      </c>
      <c r="C133" s="28"/>
      <c r="D133" s="28"/>
      <c r="E133" s="283"/>
      <c r="F133" s="28"/>
      <c r="G133" s="28"/>
      <c r="H133" s="28"/>
      <c r="I133" s="28"/>
      <c r="J133" s="28"/>
      <c r="K133" s="28"/>
      <c r="L133" s="28"/>
      <c r="M133" s="28"/>
      <c r="N133" s="283"/>
      <c r="O133" s="28"/>
      <c r="P133" s="28"/>
      <c r="Q133" s="28"/>
      <c r="R133" s="28"/>
      <c r="S133" s="28"/>
      <c r="T133" s="28"/>
      <c r="U133" s="28"/>
      <c r="V133" s="28"/>
      <c r="W133" s="28"/>
      <c r="X133" s="28"/>
      <c r="Y133" s="28"/>
      <c r="Z133" s="28"/>
      <c r="AA133" s="28"/>
      <c r="AB133" s="28"/>
      <c r="AC133" s="28"/>
    </row>
    <row r="134" spans="1:30" s="72" customFormat="1" x14ac:dyDescent="0.2">
      <c r="A134" s="282" t="s">
        <v>206</v>
      </c>
      <c r="B134" s="470" t="s">
        <v>193</v>
      </c>
      <c r="C134" s="28"/>
      <c r="D134" s="28"/>
      <c r="E134" s="28"/>
      <c r="F134" s="28"/>
      <c r="G134" s="28"/>
      <c r="H134" s="28"/>
      <c r="I134" s="28"/>
      <c r="J134" s="28"/>
      <c r="K134" s="28"/>
      <c r="L134" s="28"/>
      <c r="M134" s="28"/>
      <c r="N134" s="283"/>
      <c r="O134" s="28"/>
      <c r="P134" s="28"/>
      <c r="Q134" s="28"/>
      <c r="R134" s="28"/>
      <c r="S134" s="28"/>
      <c r="T134" s="28"/>
      <c r="U134" s="28"/>
      <c r="V134" s="28"/>
      <c r="W134" s="28"/>
      <c r="X134" s="28"/>
      <c r="Y134" s="28"/>
      <c r="Z134" s="28"/>
      <c r="AA134" s="28"/>
      <c r="AB134" s="28"/>
      <c r="AC134" s="28"/>
    </row>
    <row r="135" spans="1:30" s="72" customFormat="1" x14ac:dyDescent="0.2">
      <c r="A135" s="282" t="s">
        <v>207</v>
      </c>
      <c r="B135" s="470" t="s">
        <v>193</v>
      </c>
      <c r="C135" s="28"/>
      <c r="D135" s="28"/>
      <c r="E135" s="28"/>
      <c r="F135" s="28"/>
      <c r="G135" s="28"/>
      <c r="H135" s="28"/>
      <c r="I135" s="28"/>
      <c r="J135" s="28"/>
      <c r="K135" s="28"/>
      <c r="L135" s="28"/>
      <c r="M135" s="28"/>
      <c r="N135" s="283"/>
      <c r="O135" s="28"/>
      <c r="P135" s="28"/>
      <c r="Q135" s="28"/>
      <c r="R135" s="28"/>
      <c r="S135" s="28"/>
      <c r="T135" s="28"/>
      <c r="U135" s="28"/>
      <c r="V135" s="28"/>
      <c r="W135" s="28"/>
      <c r="X135" s="28"/>
      <c r="Y135" s="28"/>
      <c r="Z135" s="28"/>
      <c r="AA135" s="28"/>
      <c r="AB135" s="28"/>
      <c r="AC135" s="28"/>
    </row>
    <row r="136" spans="1:30" s="72" customFormat="1" x14ac:dyDescent="0.2">
      <c r="A136" s="282" t="s">
        <v>208</v>
      </c>
      <c r="B136" s="470" t="s">
        <v>193</v>
      </c>
      <c r="C136" s="28"/>
      <c r="D136" s="28"/>
      <c r="E136" s="28"/>
      <c r="F136" s="28"/>
      <c r="G136" s="28"/>
      <c r="H136" s="28"/>
      <c r="I136" s="28"/>
      <c r="J136" s="28"/>
      <c r="K136" s="28"/>
      <c r="L136" s="28"/>
      <c r="M136" s="28"/>
      <c r="N136" s="283"/>
      <c r="O136" s="28"/>
      <c r="P136" s="28"/>
      <c r="Q136" s="28"/>
      <c r="R136" s="28"/>
      <c r="S136" s="28"/>
      <c r="T136" s="28"/>
      <c r="U136" s="28"/>
      <c r="V136" s="28"/>
      <c r="W136" s="28"/>
      <c r="X136" s="28"/>
      <c r="Y136" s="28"/>
      <c r="Z136" s="28"/>
      <c r="AA136" s="28"/>
      <c r="AB136" s="28"/>
      <c r="AC136" s="28"/>
    </row>
    <row r="137" spans="1:30" s="72" customFormat="1" x14ac:dyDescent="0.2">
      <c r="A137" s="282" t="s">
        <v>209</v>
      </c>
      <c r="B137" s="470">
        <v>1</v>
      </c>
      <c r="C137" s="28"/>
      <c r="D137" s="28"/>
      <c r="E137" s="28"/>
      <c r="F137" s="28"/>
      <c r="G137" s="28"/>
      <c r="H137" s="28"/>
      <c r="I137" s="28"/>
      <c r="J137" s="28"/>
      <c r="K137" s="28"/>
      <c r="L137" s="28"/>
      <c r="M137" s="28"/>
      <c r="N137" s="283"/>
      <c r="O137" s="28"/>
      <c r="P137" s="28"/>
      <c r="Q137" s="28"/>
      <c r="R137" s="28"/>
      <c r="S137" s="28"/>
      <c r="T137" s="28"/>
      <c r="U137" s="28"/>
      <c r="V137" s="28"/>
      <c r="W137" s="28"/>
      <c r="X137" s="28"/>
      <c r="Y137" s="28"/>
      <c r="Z137" s="28"/>
      <c r="AA137" s="28"/>
      <c r="AB137" s="28"/>
      <c r="AC137" s="28"/>
    </row>
    <row r="138" spans="1:30" s="72" customFormat="1" x14ac:dyDescent="0.2">
      <c r="A138" s="282" t="s">
        <v>210</v>
      </c>
      <c r="B138" s="470">
        <v>8</v>
      </c>
      <c r="C138" s="28"/>
      <c r="D138" s="28"/>
      <c r="E138" s="28"/>
      <c r="F138" s="28"/>
      <c r="G138" s="28"/>
      <c r="H138" s="28"/>
      <c r="I138" s="28"/>
      <c r="J138" s="28"/>
      <c r="K138" s="28"/>
      <c r="L138" s="28"/>
      <c r="M138" s="28"/>
      <c r="N138" s="283"/>
      <c r="O138" s="28"/>
      <c r="P138" s="28"/>
      <c r="Q138" s="28"/>
      <c r="R138" s="28"/>
      <c r="S138" s="28"/>
      <c r="T138" s="28"/>
      <c r="U138" s="28"/>
      <c r="V138" s="28"/>
      <c r="W138" s="28"/>
      <c r="X138" s="28"/>
      <c r="Y138" s="28"/>
      <c r="Z138" s="28"/>
      <c r="AA138" s="28"/>
      <c r="AB138" s="28"/>
      <c r="AC138" s="28"/>
    </row>
    <row r="139" spans="1:30" s="72" customFormat="1" x14ac:dyDescent="0.2">
      <c r="A139" s="282" t="s">
        <v>211</v>
      </c>
      <c r="B139" s="470">
        <v>1</v>
      </c>
      <c r="C139" s="28"/>
      <c r="D139" s="28"/>
      <c r="E139" s="28"/>
      <c r="F139" s="28"/>
      <c r="G139" s="28"/>
      <c r="H139" s="28"/>
      <c r="I139" s="28"/>
      <c r="J139" s="28"/>
      <c r="K139" s="28"/>
      <c r="L139" s="28"/>
      <c r="M139" s="28"/>
      <c r="N139" s="283"/>
      <c r="O139" s="28"/>
      <c r="P139" s="28"/>
      <c r="Q139" s="28"/>
      <c r="R139" s="28"/>
      <c r="S139" s="28"/>
      <c r="T139" s="28"/>
      <c r="U139" s="28"/>
      <c r="V139" s="28"/>
      <c r="W139" s="28"/>
      <c r="X139" s="28"/>
      <c r="Y139" s="28"/>
      <c r="Z139" s="28"/>
      <c r="AA139" s="28"/>
      <c r="AB139" s="28"/>
      <c r="AC139" s="28"/>
    </row>
    <row r="140" spans="1:30" s="72" customFormat="1" x14ac:dyDescent="0.2">
      <c r="A140" s="282" t="s">
        <v>212</v>
      </c>
      <c r="B140" s="470" t="s">
        <v>193</v>
      </c>
      <c r="C140" s="28"/>
      <c r="D140" s="28"/>
      <c r="E140" s="28"/>
      <c r="F140" s="28"/>
      <c r="G140" s="28"/>
      <c r="H140" s="28"/>
      <c r="I140" s="28"/>
      <c r="J140" s="28"/>
      <c r="K140" s="28"/>
      <c r="L140" s="28"/>
      <c r="M140" s="28"/>
      <c r="N140" s="283"/>
      <c r="O140" s="28"/>
      <c r="P140" s="28"/>
      <c r="Q140" s="28"/>
      <c r="R140" s="28"/>
      <c r="S140" s="28"/>
      <c r="T140" s="28"/>
      <c r="U140" s="28"/>
      <c r="V140" s="28"/>
      <c r="W140" s="28"/>
      <c r="X140" s="28"/>
      <c r="Y140" s="28"/>
      <c r="Z140" s="28"/>
      <c r="AA140" s="28"/>
      <c r="AB140" s="28"/>
      <c r="AC140" s="28"/>
    </row>
    <row r="141" spans="1:30" s="72" customFormat="1" ht="12.75" thickBot="1" x14ac:dyDescent="0.25">
      <c r="A141" s="453" t="s">
        <v>213</v>
      </c>
      <c r="B141" s="93">
        <v>4</v>
      </c>
      <c r="C141" s="28"/>
      <c r="D141" s="28"/>
      <c r="E141" s="28"/>
      <c r="F141" s="28"/>
      <c r="G141" s="28"/>
      <c r="H141" s="28"/>
      <c r="I141" s="28"/>
      <c r="J141" s="28"/>
      <c r="K141" s="28"/>
      <c r="L141" s="28"/>
      <c r="M141" s="28"/>
      <c r="N141" s="283"/>
      <c r="O141" s="28"/>
      <c r="P141" s="28"/>
      <c r="Q141" s="28"/>
      <c r="R141" s="28"/>
      <c r="S141" s="28"/>
      <c r="T141" s="28"/>
      <c r="U141" s="28"/>
      <c r="V141" s="28"/>
      <c r="W141" s="28"/>
      <c r="X141" s="28"/>
      <c r="Y141" s="28"/>
      <c r="Z141" s="28"/>
      <c r="AA141" s="28"/>
      <c r="AB141" s="28"/>
      <c r="AC141" s="28"/>
    </row>
    <row r="142" spans="1:30" s="72" customFormat="1" ht="12.75" thickBot="1" x14ac:dyDescent="0.25">
      <c r="A142" s="61"/>
      <c r="B142" s="284"/>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row>
    <row r="143" spans="1:30" s="72" customFormat="1" ht="13.5" thickBot="1" x14ac:dyDescent="0.25">
      <c r="A143" s="738" t="s">
        <v>214</v>
      </c>
      <c r="B143" s="739"/>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row>
    <row r="144" spans="1:30" s="72" customFormat="1" x14ac:dyDescent="0.2">
      <c r="A144" s="285" t="s">
        <v>215</v>
      </c>
      <c r="B144" s="286" t="s">
        <v>216</v>
      </c>
      <c r="C144" s="286" t="s">
        <v>216</v>
      </c>
      <c r="D144" s="286" t="s">
        <v>216</v>
      </c>
      <c r="E144" s="286" t="s">
        <v>216</v>
      </c>
      <c r="F144" s="286" t="s">
        <v>216</v>
      </c>
      <c r="G144" s="286" t="s">
        <v>216</v>
      </c>
      <c r="H144" s="286" t="s">
        <v>216</v>
      </c>
      <c r="I144" s="286" t="s">
        <v>216</v>
      </c>
      <c r="J144" s="286" t="s">
        <v>216</v>
      </c>
      <c r="K144" s="286" t="s">
        <v>216</v>
      </c>
      <c r="L144" s="286" t="s">
        <v>216</v>
      </c>
      <c r="M144" s="286" t="s">
        <v>216</v>
      </c>
      <c r="N144" s="286"/>
      <c r="O144" s="286"/>
      <c r="P144" s="286"/>
      <c r="Q144" s="286" t="s">
        <v>216</v>
      </c>
      <c r="R144" s="286"/>
      <c r="S144" s="286"/>
      <c r="T144" s="286"/>
      <c r="U144" s="286"/>
      <c r="V144" s="286"/>
      <c r="W144" s="286"/>
      <c r="X144" s="286" t="s">
        <v>216</v>
      </c>
      <c r="Y144" s="286" t="s">
        <v>216</v>
      </c>
      <c r="Z144" s="286" t="s">
        <v>216</v>
      </c>
      <c r="AA144" s="286" t="s">
        <v>216</v>
      </c>
      <c r="AB144" s="286" t="s">
        <v>216</v>
      </c>
      <c r="AC144" s="287" t="s">
        <v>216</v>
      </c>
      <c r="AD144" s="28"/>
    </row>
    <row r="145" spans="1:30" s="72" customFormat="1" ht="12.75" thickBot="1" x14ac:dyDescent="0.25">
      <c r="A145" s="80" t="s">
        <v>217</v>
      </c>
      <c r="B145" s="288"/>
      <c r="C145" s="288"/>
      <c r="D145" s="288"/>
      <c r="E145" s="288"/>
      <c r="F145" s="288"/>
      <c r="G145" s="288"/>
      <c r="H145" s="288"/>
      <c r="I145" s="288"/>
      <c r="J145" s="288"/>
      <c r="K145" s="288"/>
      <c r="L145" s="288"/>
      <c r="M145" s="288"/>
      <c r="N145" s="288" t="s">
        <v>216</v>
      </c>
      <c r="O145" s="288" t="s">
        <v>216</v>
      </c>
      <c r="P145" s="288" t="s">
        <v>216</v>
      </c>
      <c r="Q145" s="288"/>
      <c r="R145" s="288" t="s">
        <v>216</v>
      </c>
      <c r="S145" s="288" t="s">
        <v>216</v>
      </c>
      <c r="T145" s="288" t="s">
        <v>216</v>
      </c>
      <c r="U145" s="288" t="s">
        <v>216</v>
      </c>
      <c r="V145" s="288" t="s">
        <v>216</v>
      </c>
      <c r="W145" s="288" t="s">
        <v>216</v>
      </c>
      <c r="X145" s="288"/>
      <c r="Y145" s="288"/>
      <c r="Z145" s="288"/>
      <c r="AA145" s="288"/>
      <c r="AB145" s="288"/>
      <c r="AC145" s="289"/>
      <c r="AD145" s="28"/>
    </row>
    <row r="146" spans="1:30" s="72" customFormat="1" ht="12.75" thickBot="1" x14ac:dyDescent="0.25">
      <c r="A146" s="61"/>
      <c r="B146" s="124"/>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row>
    <row r="147" spans="1:30" s="72" customFormat="1" ht="13.5" thickBot="1" x14ac:dyDescent="0.25">
      <c r="A147" s="551" t="s">
        <v>246</v>
      </c>
      <c r="B147" s="740" t="s">
        <v>220</v>
      </c>
      <c r="C147" s="741"/>
      <c r="D147" s="742" t="s">
        <v>221</v>
      </c>
      <c r="E147" s="743"/>
      <c r="F147" s="744" t="s">
        <v>222</v>
      </c>
      <c r="G147" s="745"/>
      <c r="H147" s="28"/>
      <c r="I147" s="240" t="s">
        <v>223</v>
      </c>
      <c r="J147" s="28"/>
      <c r="K147" s="28"/>
      <c r="L147" s="28"/>
      <c r="M147" s="28"/>
      <c r="N147" s="28"/>
      <c r="O147" s="28"/>
      <c r="P147" s="28"/>
      <c r="Q147" s="28"/>
      <c r="R147" s="28"/>
      <c r="S147" s="28"/>
      <c r="T147" s="28"/>
      <c r="U147" s="28"/>
      <c r="V147" s="28"/>
      <c r="W147" s="28"/>
      <c r="X147" s="28"/>
      <c r="Y147" s="28"/>
      <c r="Z147" s="28"/>
      <c r="AA147" s="28"/>
      <c r="AB147" s="28"/>
      <c r="AC147" s="28"/>
    </row>
    <row r="148" spans="1:30" s="72" customFormat="1" ht="13.5" thickBot="1" x14ac:dyDescent="0.25">
      <c r="A148" s="553" t="s">
        <v>224</v>
      </c>
      <c r="B148" s="297"/>
      <c r="C148" s="297"/>
      <c r="D148" s="297"/>
      <c r="E148" s="297"/>
      <c r="F148" s="297"/>
      <c r="G148" s="298"/>
      <c r="H148" s="28"/>
      <c r="I148" s="194" t="s">
        <v>62</v>
      </c>
      <c r="J148" s="28"/>
      <c r="K148" s="28"/>
      <c r="L148" s="28"/>
      <c r="M148" s="28"/>
      <c r="N148" s="28"/>
      <c r="O148" s="28"/>
      <c r="P148" s="28"/>
      <c r="Q148" s="28"/>
      <c r="R148" s="28"/>
      <c r="S148" s="28"/>
      <c r="T148" s="28"/>
      <c r="U148" s="28"/>
      <c r="V148" s="28"/>
      <c r="W148" s="28"/>
      <c r="X148" s="28"/>
      <c r="Y148" s="28"/>
      <c r="Z148" s="28"/>
      <c r="AA148" s="28"/>
      <c r="AB148" s="28"/>
      <c r="AC148" s="28"/>
    </row>
    <row r="149" spans="1:30" s="72" customFormat="1" x14ac:dyDescent="0.2">
      <c r="A149" s="555" t="s">
        <v>225</v>
      </c>
      <c r="B149" s="233">
        <v>3</v>
      </c>
      <c r="C149" s="233"/>
      <c r="D149" s="234">
        <v>2</v>
      </c>
      <c r="E149" s="234"/>
      <c r="F149" s="235">
        <v>1</v>
      </c>
      <c r="G149" s="236">
        <v>0</v>
      </c>
      <c r="H149" s="28"/>
      <c r="I149" s="28"/>
      <c r="J149" s="28"/>
      <c r="K149" s="28"/>
      <c r="L149" s="28"/>
      <c r="M149" s="28"/>
      <c r="N149" s="28"/>
      <c r="O149" s="28"/>
      <c r="P149" s="28"/>
      <c r="Q149" s="28"/>
      <c r="R149" s="28"/>
      <c r="S149" s="28"/>
      <c r="T149" s="28"/>
      <c r="U149" s="28"/>
      <c r="V149" s="28"/>
      <c r="W149" s="28"/>
      <c r="X149" s="28"/>
      <c r="Y149" s="28"/>
      <c r="Z149" s="28"/>
      <c r="AA149" s="28"/>
      <c r="AB149" s="28"/>
      <c r="AC149" s="28"/>
    </row>
    <row r="150" spans="1:30" ht="12.75" thickBot="1" x14ac:dyDescent="0.25">
      <c r="A150" s="555" t="s">
        <v>226</v>
      </c>
      <c r="B150" s="228">
        <v>3</v>
      </c>
      <c r="C150" s="228">
        <v>2</v>
      </c>
      <c r="D150" s="230">
        <v>1</v>
      </c>
      <c r="E150" s="230"/>
      <c r="F150" s="231"/>
      <c r="G150" s="232">
        <v>0</v>
      </c>
    </row>
    <row r="151" spans="1:30" ht="12.75" thickBot="1" x14ac:dyDescent="0.25">
      <c r="A151" s="553" t="str">
        <f t="shared" ref="A151:A172" si="66">A38</f>
        <v>Integrated Mission Systems</v>
      </c>
      <c r="B151" s="297"/>
      <c r="C151" s="297"/>
      <c r="D151" s="297"/>
      <c r="E151" s="297"/>
      <c r="F151" s="297"/>
      <c r="G151" s="298"/>
    </row>
    <row r="152" spans="1:30" x14ac:dyDescent="0.2">
      <c r="A152" s="556" t="str">
        <f t="shared" si="66"/>
        <v>Ready MH-60S Cargo Transport Mission Systems (C)</v>
      </c>
      <c r="B152" s="229">
        <f>$B$150</f>
        <v>3</v>
      </c>
      <c r="C152" s="233">
        <f>ROUND(MAX(B39:AC39),0)</f>
        <v>1</v>
      </c>
      <c r="D152" s="299"/>
      <c r="E152" s="299"/>
      <c r="F152" s="300"/>
      <c r="G152" s="301">
        <v>0</v>
      </c>
    </row>
    <row r="153" spans="1:30" x14ac:dyDescent="0.2">
      <c r="A153" s="555" t="str">
        <f t="shared" si="66"/>
        <v>Ready MH-60S Airborne Mine Counter Measures (AMCM) Mission Systems (D)</v>
      </c>
      <c r="B153" s="224" t="s">
        <v>227</v>
      </c>
      <c r="C153" s="233"/>
      <c r="D153" s="225"/>
      <c r="E153" s="225"/>
      <c r="F153" s="226"/>
      <c r="G153" s="227"/>
    </row>
    <row r="154" spans="1:30" x14ac:dyDescent="0.2">
      <c r="A154" s="555" t="str">
        <f t="shared" si="66"/>
        <v>Ready MH-60S Active/Passive Countermeasures Mission Systems (E)</v>
      </c>
      <c r="B154" s="224">
        <f>$B$150</f>
        <v>3</v>
      </c>
      <c r="C154" s="233">
        <f t="shared" ref="C154:C161" si="67">ROUND(MAX(B41:AC41),0)</f>
        <v>2</v>
      </c>
      <c r="D154" s="225">
        <v>1</v>
      </c>
      <c r="E154" s="225"/>
      <c r="F154" s="226"/>
      <c r="G154" s="227">
        <v>0</v>
      </c>
    </row>
    <row r="155" spans="1:30" x14ac:dyDescent="0.2">
      <c r="A155" s="555" t="str">
        <f t="shared" si="66"/>
        <v>Ready MH-60S CSAR, SUW, and Spec Warfare Mission Systems (F)</v>
      </c>
      <c r="B155" s="224">
        <f>$B$150</f>
        <v>3</v>
      </c>
      <c r="C155" s="233">
        <f t="shared" si="67"/>
        <v>2</v>
      </c>
      <c r="D155" s="225">
        <v>1</v>
      </c>
      <c r="E155" s="225"/>
      <c r="F155" s="226"/>
      <c r="G155" s="227">
        <v>0</v>
      </c>
    </row>
    <row r="156" spans="1:30" x14ac:dyDescent="0.2">
      <c r="A156" s="555" t="str">
        <f t="shared" si="66"/>
        <v>Ready MH-60S Personnel Transport Mission Systems (G)</v>
      </c>
      <c r="B156" s="228">
        <f>$B$150</f>
        <v>3</v>
      </c>
      <c r="C156" s="233">
        <f t="shared" si="67"/>
        <v>1</v>
      </c>
      <c r="D156" s="225"/>
      <c r="E156" s="225"/>
      <c r="F156" s="226"/>
      <c r="G156" s="232">
        <v>0</v>
      </c>
    </row>
    <row r="157" spans="1:30" x14ac:dyDescent="0.2">
      <c r="A157" s="555" t="str">
        <f t="shared" si="66"/>
        <v>Ready MH-60S SAR\MEDIVAC Mission Systems (H)</v>
      </c>
      <c r="B157" s="228">
        <f>$B$150</f>
        <v>3</v>
      </c>
      <c r="C157" s="233">
        <f t="shared" si="67"/>
        <v>1</v>
      </c>
      <c r="D157" s="225"/>
      <c r="E157" s="225"/>
      <c r="F157" s="226"/>
      <c r="G157" s="232">
        <v>0</v>
      </c>
    </row>
    <row r="158" spans="1:30" x14ac:dyDescent="0.2">
      <c r="A158" s="555" t="str">
        <f t="shared" si="66"/>
        <v>Ready MH-60S Mission Support Systems (I)</v>
      </c>
      <c r="B158" s="224" t="s">
        <v>227</v>
      </c>
      <c r="C158" s="233"/>
      <c r="D158" s="225"/>
      <c r="E158" s="225"/>
      <c r="F158" s="226"/>
      <c r="G158" s="232">
        <v>0</v>
      </c>
    </row>
    <row r="159" spans="1:30" x14ac:dyDescent="0.2">
      <c r="A159" s="555" t="str">
        <f t="shared" si="66"/>
        <v>Ready MH-60S Fixed Forward Firing Systems (J)</v>
      </c>
      <c r="B159" s="224">
        <f>$B$150</f>
        <v>3</v>
      </c>
      <c r="C159" s="233">
        <f t="shared" si="67"/>
        <v>2</v>
      </c>
      <c r="D159" s="225">
        <v>1</v>
      </c>
      <c r="E159" s="225"/>
      <c r="F159" s="226"/>
      <c r="G159" s="232"/>
    </row>
    <row r="160" spans="1:30" x14ac:dyDescent="0.2">
      <c r="A160" s="555" t="str">
        <f t="shared" si="66"/>
        <v>Ready MH-60S Shipboard Mission Systems (K)</v>
      </c>
      <c r="B160" s="224">
        <f>$B$150</f>
        <v>3</v>
      </c>
      <c r="C160" s="233">
        <f t="shared" si="67"/>
        <v>2</v>
      </c>
      <c r="D160" s="225">
        <v>1</v>
      </c>
      <c r="E160" s="225"/>
      <c r="F160" s="226"/>
      <c r="G160" s="227">
        <v>0</v>
      </c>
    </row>
    <row r="161" spans="1:7" ht="12.75" thickBot="1" x14ac:dyDescent="0.25">
      <c r="A161" s="555" t="str">
        <f t="shared" si="66"/>
        <v>Ready MH-60S IMC Flight Mission Systems (L)</v>
      </c>
      <c r="B161" s="224">
        <f>$B$150</f>
        <v>3</v>
      </c>
      <c r="C161" s="233">
        <f t="shared" si="67"/>
        <v>2</v>
      </c>
      <c r="D161" s="225">
        <v>1</v>
      </c>
      <c r="E161" s="225"/>
      <c r="F161" s="226"/>
      <c r="G161" s="227">
        <v>0</v>
      </c>
    </row>
    <row r="162" spans="1:7" ht="12.75" thickBot="1" x14ac:dyDescent="0.25">
      <c r="A162" s="553" t="str">
        <f t="shared" si="66"/>
        <v>Non-Integrated Mission Systems</v>
      </c>
      <c r="B162" s="297"/>
      <c r="C162" s="297"/>
      <c r="D162" s="297"/>
      <c r="E162" s="297"/>
      <c r="F162" s="297"/>
      <c r="G162" s="298"/>
    </row>
    <row r="163" spans="1:7" x14ac:dyDescent="0.2">
      <c r="A163" s="557" t="str">
        <f t="shared" si="66"/>
        <v>Assigned M-299 Sets</v>
      </c>
      <c r="B163" s="233">
        <f>MAX(B50:AC50)</f>
        <v>4</v>
      </c>
      <c r="C163" s="224"/>
      <c r="D163" s="234"/>
      <c r="E163" s="234"/>
      <c r="F163" s="235"/>
      <c r="G163" s="302">
        <v>0</v>
      </c>
    </row>
    <row r="164" spans="1:7" x14ac:dyDescent="0.2">
      <c r="A164" s="558" t="str">
        <f t="shared" si="66"/>
        <v>Ready M-299 Sets</v>
      </c>
      <c r="B164" s="224">
        <f t="shared" ref="B164" si="68">B163</f>
        <v>4</v>
      </c>
      <c r="C164" s="224">
        <v>3</v>
      </c>
      <c r="D164" s="225"/>
      <c r="E164" s="225"/>
      <c r="F164" s="226"/>
      <c r="G164" s="295">
        <v>0</v>
      </c>
    </row>
    <row r="165" spans="1:7" x14ac:dyDescent="0.2">
      <c r="A165" s="558" t="str">
        <f t="shared" si="66"/>
        <v>Assigned 20-mm Sets</v>
      </c>
      <c r="B165" s="224" t="s">
        <v>227</v>
      </c>
      <c r="C165" s="224"/>
      <c r="D165" s="225"/>
      <c r="E165" s="225"/>
      <c r="F165" s="226"/>
      <c r="G165" s="295"/>
    </row>
    <row r="166" spans="1:7" x14ac:dyDescent="0.2">
      <c r="A166" s="558" t="str">
        <f t="shared" si="66"/>
        <v>Ready 20-mm Sets</v>
      </c>
      <c r="B166" s="224" t="s">
        <v>227</v>
      </c>
      <c r="C166" s="224"/>
      <c r="D166" s="225"/>
      <c r="E166" s="225"/>
      <c r="F166" s="226"/>
      <c r="G166" s="295"/>
    </row>
    <row r="167" spans="1:7" x14ac:dyDescent="0.2">
      <c r="A167" s="558" t="str">
        <f t="shared" si="66"/>
        <v>Assigned GAU-21 Sets</v>
      </c>
      <c r="B167" s="233">
        <v>5</v>
      </c>
      <c r="C167" s="224"/>
      <c r="D167" s="234">
        <v>4</v>
      </c>
      <c r="E167" s="234"/>
      <c r="F167" s="235">
        <v>3</v>
      </c>
      <c r="G167" s="302">
        <v>0</v>
      </c>
    </row>
    <row r="168" spans="1:7" x14ac:dyDescent="0.2">
      <c r="A168" s="558" t="str">
        <f t="shared" si="66"/>
        <v>Ready GAU-21 Sets</v>
      </c>
      <c r="B168" s="224">
        <v>5</v>
      </c>
      <c r="C168" s="224">
        <v>4</v>
      </c>
      <c r="D168" s="225">
        <v>3</v>
      </c>
      <c r="E168" s="225"/>
      <c r="F168" s="226">
        <v>2</v>
      </c>
      <c r="G168" s="295">
        <v>0</v>
      </c>
    </row>
    <row r="169" spans="1:7" x14ac:dyDescent="0.2">
      <c r="A169" s="558" t="str">
        <f t="shared" si="66"/>
        <v>Assigned M-240 Sets</v>
      </c>
      <c r="B169" s="233">
        <f>MAX(B56:AC56)</f>
        <v>7</v>
      </c>
      <c r="C169" s="224"/>
      <c r="D169" s="234">
        <v>6</v>
      </c>
      <c r="E169" s="234">
        <v>5</v>
      </c>
      <c r="F169" s="235">
        <v>4</v>
      </c>
      <c r="G169" s="302">
        <v>0</v>
      </c>
    </row>
    <row r="170" spans="1:7" x14ac:dyDescent="0.2">
      <c r="A170" s="558" t="str">
        <f t="shared" si="66"/>
        <v>Ready M-240 Sets</v>
      </c>
      <c r="B170" s="224">
        <f t="shared" ref="B170" si="69">B169</f>
        <v>7</v>
      </c>
      <c r="C170" s="224">
        <v>5</v>
      </c>
      <c r="D170" s="225">
        <v>4</v>
      </c>
      <c r="E170" s="225"/>
      <c r="F170" s="226">
        <v>3</v>
      </c>
      <c r="G170" s="295">
        <v>0</v>
      </c>
    </row>
    <row r="171" spans="1:7" x14ac:dyDescent="0.2">
      <c r="A171" s="558" t="str">
        <f t="shared" si="66"/>
        <v>Assigned Full Motion Video Systems</v>
      </c>
      <c r="B171" s="224" t="s">
        <v>227</v>
      </c>
      <c r="C171" s="224"/>
      <c r="D171" s="225"/>
      <c r="E171" s="225"/>
      <c r="F171" s="226"/>
      <c r="G171" s="295"/>
    </row>
    <row r="172" spans="1:7" ht="12.75" thickBot="1" x14ac:dyDescent="0.25">
      <c r="A172" s="559" t="str">
        <f t="shared" si="66"/>
        <v>Ready Full Motion Video Systems</v>
      </c>
      <c r="B172" s="237" t="s">
        <v>227</v>
      </c>
      <c r="C172" s="237"/>
      <c r="D172" s="238"/>
      <c r="E172" s="238"/>
      <c r="F172" s="239"/>
      <c r="G172" s="296"/>
    </row>
    <row r="175" spans="1:7" x14ac:dyDescent="0.2">
      <c r="A175" s="631" t="s">
        <v>228</v>
      </c>
      <c r="B175" s="631" t="s">
        <v>247</v>
      </c>
    </row>
    <row r="176" spans="1:7" x14ac:dyDescent="0.2">
      <c r="A176" s="632" t="s">
        <v>230</v>
      </c>
      <c r="B176" s="670">
        <f>HLOOKUP($B$175,'MH-60S Mission System Summary'!$B$1:$J$12,2,FALSE)</f>
        <v>0.78417735354793427</v>
      </c>
    </row>
    <row r="177" spans="1:2" x14ac:dyDescent="0.2">
      <c r="A177" s="632" t="str">
        <f t="shared" ref="A177:A186" si="70">A39</f>
        <v>Ready MH-60S Cargo Transport Mission Systems (C)</v>
      </c>
      <c r="B177" s="670">
        <f>HLOOKUP($B$175,'MH-60S Mission System Summary'!$B$1:$J$12,3,FALSE)</f>
        <v>0.59439634505905103</v>
      </c>
    </row>
    <row r="178" spans="1:2" x14ac:dyDescent="0.2">
      <c r="A178" s="632" t="str">
        <f t="shared" si="70"/>
        <v>Ready MH-60S Airborne Mine Counter Measures (AMCM) Mission Systems (D)</v>
      </c>
      <c r="B178" s="670">
        <f>HLOOKUP($B$175,'MH-60S Mission System Summary'!$B$1:$J$12,4,FALSE)</f>
        <v>0</v>
      </c>
    </row>
    <row r="179" spans="1:2" x14ac:dyDescent="0.2">
      <c r="A179" s="632" t="str">
        <f t="shared" si="70"/>
        <v>Ready MH-60S Active/Passive Countermeasures Mission Systems (E)</v>
      </c>
      <c r="B179" s="670">
        <f>HLOOKUP($B$175,'MH-60S Mission System Summary'!$B$1:$J$12,5,FALSE)</f>
        <v>0.75813571558475212</v>
      </c>
    </row>
    <row r="180" spans="1:2" x14ac:dyDescent="0.2">
      <c r="A180" s="632" t="str">
        <f t="shared" si="70"/>
        <v>Ready MH-60S CSAR, SUW, and Spec Warfare Mission Systems (F)</v>
      </c>
      <c r="B180" s="670">
        <f>HLOOKUP($B$175,'MH-60S Mission System Summary'!$B$1:$J$12,6,FALSE)</f>
        <v>0.75813571558475212</v>
      </c>
    </row>
    <row r="181" spans="1:2" x14ac:dyDescent="0.2">
      <c r="A181" s="632" t="str">
        <f t="shared" si="70"/>
        <v>Ready MH-60S Personnel Transport Mission Systems (G)</v>
      </c>
      <c r="B181" s="670">
        <f>HLOOKUP($B$175,'MH-60S Mission System Summary'!$B$1:$J$12,7,FALSE)</f>
        <v>0.52911222189768148</v>
      </c>
    </row>
    <row r="182" spans="1:2" x14ac:dyDescent="0.2">
      <c r="A182" s="632" t="str">
        <f t="shared" si="70"/>
        <v>Ready MH-60S SAR\MEDIVAC Mission Systems (H)</v>
      </c>
      <c r="B182" s="670">
        <f>HLOOKUP($B$175,'MH-60S Mission System Summary'!$B$1:$J$12,8,FALSE)</f>
        <v>0.52911222189768148</v>
      </c>
    </row>
    <row r="183" spans="1:2" x14ac:dyDescent="0.2">
      <c r="A183" s="632" t="str">
        <f t="shared" si="70"/>
        <v>Ready MH-60S Mission Support Systems (I)</v>
      </c>
      <c r="B183" s="670">
        <f>HLOOKUP($B$175,'MH-60S Mission System Summary'!$B$1:$J$12,9,FALSE)</f>
        <v>0</v>
      </c>
    </row>
    <row r="184" spans="1:2" x14ac:dyDescent="0.2">
      <c r="A184" s="632" t="str">
        <f t="shared" si="70"/>
        <v>Ready MH-60S Fixed Forward Firing Systems (J)</v>
      </c>
      <c r="B184" s="670">
        <f>HLOOKUP($B$175,'MH-60S Mission System Summary'!$B$1:$J$12,10,FALSE)</f>
        <v>0.75813571558475212</v>
      </c>
    </row>
    <row r="185" spans="1:2" x14ac:dyDescent="0.2">
      <c r="A185" s="632" t="str">
        <f t="shared" si="70"/>
        <v>Ready MH-60S Shipboard Mission Systems (K)</v>
      </c>
      <c r="B185" s="670">
        <f>HLOOKUP($B$175,'MH-60S Mission System Summary'!$B$1:$J$12,11,FALSE)</f>
        <v>0.22324789339388165</v>
      </c>
    </row>
    <row r="186" spans="1:2" x14ac:dyDescent="0.2">
      <c r="A186" s="632" t="str">
        <f t="shared" si="70"/>
        <v>Ready MH-60S IMC Flight Mission Systems (L)</v>
      </c>
      <c r="B186" s="670">
        <f>HLOOKUP($B$175,'MH-60S Mission System Summary'!$B$1:$J$12,12,FALSE)</f>
        <v>1</v>
      </c>
    </row>
  </sheetData>
  <mergeCells count="15">
    <mergeCell ref="X16:AB16"/>
    <mergeCell ref="A98:AC98"/>
    <mergeCell ref="A108:B108"/>
    <mergeCell ref="A109:B109"/>
    <mergeCell ref="A143:B143"/>
    <mergeCell ref="B147:C147"/>
    <mergeCell ref="D147:E147"/>
    <mergeCell ref="F147:G147"/>
    <mergeCell ref="A1:E1"/>
    <mergeCell ref="M1:P1"/>
    <mergeCell ref="U3:W3"/>
    <mergeCell ref="B16:G16"/>
    <mergeCell ref="H16:J16"/>
    <mergeCell ref="K16:M16"/>
    <mergeCell ref="R16:W16"/>
  </mergeCells>
  <conditionalFormatting sqref="B32:P32 Y32:AC32">
    <cfRule type="cellIs" dxfId="444" priority="181" stopIfTrue="1" operator="equal">
      <formula>B$67</formula>
    </cfRule>
  </conditionalFormatting>
  <conditionalFormatting sqref="C149:C150 C164:C166">
    <cfRule type="cellIs" dxfId="443" priority="52" operator="equal">
      <formula>B149</formula>
    </cfRule>
  </conditionalFormatting>
  <conditionalFormatting sqref="D149:E150 D163:E166 D152:E153 D158:E158 D161:E161">
    <cfRule type="cellIs" dxfId="442" priority="51" operator="equal">
      <formula>C149</formula>
    </cfRule>
  </conditionalFormatting>
  <conditionalFormatting sqref="E149">
    <cfRule type="cellIs" dxfId="441" priority="50" operator="equal">
      <formula>D149</formula>
    </cfRule>
  </conditionalFormatting>
  <conditionalFormatting sqref="F149">
    <cfRule type="cellIs" dxfId="440" priority="49" operator="equal">
      <formula>E149</formula>
    </cfRule>
  </conditionalFormatting>
  <conditionalFormatting sqref="F150 F163:F164 F152:F153 F158 F161">
    <cfRule type="cellIs" dxfId="439" priority="47" operator="equal">
      <formula>G150</formula>
    </cfRule>
    <cfRule type="cellIs" dxfId="438" priority="48" operator="equal">
      <formula>E150</formula>
    </cfRule>
  </conditionalFormatting>
  <conditionalFormatting sqref="F165:F166">
    <cfRule type="cellIs" dxfId="437" priority="45" operator="equal">
      <formula>G165</formula>
    </cfRule>
    <cfRule type="cellIs" dxfId="436" priority="46" operator="equal">
      <formula>E165</formula>
    </cfRule>
  </conditionalFormatting>
  <conditionalFormatting sqref="F172">
    <cfRule type="cellIs" dxfId="435" priority="43" operator="equal">
      <formula>G134</formula>
    </cfRule>
    <cfRule type="cellIs" dxfId="434" priority="44" operator="equal">
      <formula>E134</formula>
    </cfRule>
  </conditionalFormatting>
  <conditionalFormatting sqref="F171">
    <cfRule type="cellIs" dxfId="433" priority="53" operator="equal">
      <formula>#REF!</formula>
    </cfRule>
    <cfRule type="cellIs" dxfId="432" priority="54" operator="equal">
      <formula>E132</formula>
    </cfRule>
  </conditionalFormatting>
  <conditionalFormatting sqref="D171:E172">
    <cfRule type="cellIs" dxfId="431" priority="55" operator="equal">
      <formula>C132</formula>
    </cfRule>
  </conditionalFormatting>
  <conditionalFormatting sqref="C171:C172">
    <cfRule type="cellIs" dxfId="430" priority="56" operator="equal">
      <formula>B132</formula>
    </cfRule>
  </conditionalFormatting>
  <conditionalFormatting sqref="D154:E154">
    <cfRule type="cellIs" dxfId="429" priority="41" operator="equal">
      <formula>C154</formula>
    </cfRule>
  </conditionalFormatting>
  <conditionalFormatting sqref="F154">
    <cfRule type="cellIs" dxfId="428" priority="39" operator="equal">
      <formula>G154</formula>
    </cfRule>
    <cfRule type="cellIs" dxfId="427" priority="40" operator="equal">
      <formula>E154</formula>
    </cfRule>
  </conditionalFormatting>
  <conditionalFormatting sqref="D155:E155">
    <cfRule type="cellIs" dxfId="426" priority="37" operator="equal">
      <formula>C155</formula>
    </cfRule>
  </conditionalFormatting>
  <conditionalFormatting sqref="F155">
    <cfRule type="cellIs" dxfId="425" priority="35" operator="equal">
      <formula>G155</formula>
    </cfRule>
    <cfRule type="cellIs" dxfId="424" priority="36" operator="equal">
      <formula>E155</formula>
    </cfRule>
  </conditionalFormatting>
  <conditionalFormatting sqref="D156:E156">
    <cfRule type="cellIs" dxfId="423" priority="33" operator="equal">
      <formula>C156</formula>
    </cfRule>
  </conditionalFormatting>
  <conditionalFormatting sqref="F156">
    <cfRule type="cellIs" dxfId="422" priority="31" operator="equal">
      <formula>G156</formula>
    </cfRule>
    <cfRule type="cellIs" dxfId="421" priority="32" operator="equal">
      <formula>E156</formula>
    </cfRule>
  </conditionalFormatting>
  <conditionalFormatting sqref="D157:E157">
    <cfRule type="cellIs" dxfId="420" priority="29" operator="equal">
      <formula>C157</formula>
    </cfRule>
  </conditionalFormatting>
  <conditionalFormatting sqref="F157">
    <cfRule type="cellIs" dxfId="419" priority="27" operator="equal">
      <formula>G157</formula>
    </cfRule>
    <cfRule type="cellIs" dxfId="418" priority="28" operator="equal">
      <formula>E157</formula>
    </cfRule>
  </conditionalFormatting>
  <conditionalFormatting sqref="D159:E159">
    <cfRule type="cellIs" dxfId="417" priority="25" operator="equal">
      <formula>C159</formula>
    </cfRule>
  </conditionalFormatting>
  <conditionalFormatting sqref="F159">
    <cfRule type="cellIs" dxfId="416" priority="23" operator="equal">
      <formula>G159</formula>
    </cfRule>
    <cfRule type="cellIs" dxfId="415" priority="24" operator="equal">
      <formula>E159</formula>
    </cfRule>
  </conditionalFormatting>
  <conditionalFormatting sqref="D160:E160">
    <cfRule type="cellIs" dxfId="414" priority="21" operator="equal">
      <formula>C160</formula>
    </cfRule>
  </conditionalFormatting>
  <conditionalFormatting sqref="F160">
    <cfRule type="cellIs" dxfId="413" priority="19" operator="equal">
      <formula>G160</formula>
    </cfRule>
    <cfRule type="cellIs" dxfId="412" priority="20" operator="equal">
      <formula>E160</formula>
    </cfRule>
  </conditionalFormatting>
  <conditionalFormatting sqref="C163">
    <cfRule type="cellIs" dxfId="411" priority="18" operator="equal">
      <formula>B163</formula>
    </cfRule>
  </conditionalFormatting>
  <conditionalFormatting sqref="C168">
    <cfRule type="cellIs" dxfId="410" priority="17" operator="equal">
      <formula>B168</formula>
    </cfRule>
  </conditionalFormatting>
  <conditionalFormatting sqref="D167:E168">
    <cfRule type="cellIs" dxfId="409" priority="16" operator="equal">
      <formula>C167</formula>
    </cfRule>
  </conditionalFormatting>
  <conditionalFormatting sqref="F167:F168">
    <cfRule type="cellIs" dxfId="408" priority="14" operator="equal">
      <formula>G167</formula>
    </cfRule>
    <cfRule type="cellIs" dxfId="407" priority="15" operator="equal">
      <formula>E167</formula>
    </cfRule>
  </conditionalFormatting>
  <conditionalFormatting sqref="C167">
    <cfRule type="cellIs" dxfId="406" priority="13" operator="equal">
      <formula>B167</formula>
    </cfRule>
  </conditionalFormatting>
  <conditionalFormatting sqref="C170">
    <cfRule type="cellIs" dxfId="405" priority="12" operator="equal">
      <formula>B170</formula>
    </cfRule>
  </conditionalFormatting>
  <conditionalFormatting sqref="D169:E170">
    <cfRule type="cellIs" dxfId="404" priority="11" operator="equal">
      <formula>C169</formula>
    </cfRule>
  </conditionalFormatting>
  <conditionalFormatting sqref="F169:F170">
    <cfRule type="cellIs" dxfId="403" priority="9" operator="equal">
      <formula>G169</formula>
    </cfRule>
    <cfRule type="cellIs" dxfId="402" priority="10" operator="equal">
      <formula>E169</formula>
    </cfRule>
  </conditionalFormatting>
  <conditionalFormatting sqref="C169">
    <cfRule type="cellIs" dxfId="401" priority="8" operator="equal">
      <formula>B169</formula>
    </cfRule>
  </conditionalFormatting>
  <conditionalFormatting sqref="C152:C161">
    <cfRule type="cellIs" dxfId="400" priority="7" operator="equal">
      <formula>B152</formula>
    </cfRule>
  </conditionalFormatting>
  <hyperlinks>
    <hyperlink ref="H1" location="Inventory!A1" display="Inventory" xr:uid="{00000000-0004-0000-0400-000000000000}"/>
    <hyperlink ref="H2" location="'HSC EXP 3AC CSG ESG W Kit DRRS'!A161" display="AMFOM" xr:uid="{00000000-0004-0000-0400-000001000000}"/>
    <hyperlink ref="I147" location="'HSC EXP 3AC CSG ESG W Kit DRRS'!A1" display="Top" xr:uid="{00000000-0004-0000-0400-000002000000}"/>
    <hyperlink ref="I148" location="Inventory!A1" display="Inventory" xr:uid="{00000000-0004-0000-0400-000003000000}"/>
  </hyperlinks>
  <printOptions horizontalCentered="1" verticalCentered="1"/>
  <pageMargins left="0.25" right="0.25" top="0.25" bottom="0.25" header="0" footer="0"/>
  <pageSetup paperSize="17" scale="5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186"/>
  <sheetViews>
    <sheetView showGridLines="0" topLeftCell="A25" zoomScaleNormal="100" zoomScaleSheetLayoutView="100" workbookViewId="0">
      <selection activeCell="I57" sqref="I57"/>
    </sheetView>
  </sheetViews>
  <sheetFormatPr defaultRowHeight="12" x14ac:dyDescent="0.2"/>
  <cols>
    <col min="1" max="1" width="62" style="28" bestFit="1" customWidth="1"/>
    <col min="2" max="29" width="5.7109375" style="28" customWidth="1"/>
    <col min="30" max="30" width="7" style="28" bestFit="1" customWidth="1"/>
    <col min="31" max="32" width="5.7109375" style="28" customWidth="1"/>
    <col min="33" max="33" width="7" style="28" bestFit="1" customWidth="1"/>
    <col min="34" max="60" width="5.7109375" style="28" customWidth="1"/>
    <col min="61" max="61" width="8.140625" style="28" customWidth="1"/>
    <col min="62" max="16384" width="9.140625" style="28"/>
  </cols>
  <sheetData>
    <row r="1" spans="1:38" s="1" customFormat="1" ht="18.75" x14ac:dyDescent="0.3">
      <c r="A1" s="435" t="s">
        <v>248</v>
      </c>
      <c r="B1" s="157"/>
      <c r="C1" s="157"/>
      <c r="D1" s="157"/>
      <c r="E1" s="157"/>
      <c r="F1" s="157"/>
      <c r="G1" s="157"/>
      <c r="H1" s="194" t="s">
        <v>62</v>
      </c>
      <c r="I1" s="157"/>
      <c r="L1" s="151" t="s">
        <v>3</v>
      </c>
      <c r="M1" s="770">
        <v>44835</v>
      </c>
      <c r="N1" s="771"/>
      <c r="O1" s="772"/>
      <c r="P1" s="772"/>
      <c r="Q1" s="150"/>
      <c r="R1" s="150"/>
      <c r="S1" s="150"/>
      <c r="T1" s="150"/>
      <c r="U1" s="150"/>
      <c r="V1" s="150"/>
      <c r="W1" s="150"/>
      <c r="X1" s="150"/>
      <c r="Y1" s="150"/>
      <c r="Z1" s="150"/>
      <c r="AA1" s="150"/>
      <c r="AB1" s="150"/>
      <c r="AC1" s="423" t="s">
        <v>63</v>
      </c>
      <c r="AD1" s="424">
        <v>7.04</v>
      </c>
      <c r="AE1" s="150"/>
    </row>
    <row r="2" spans="1:38" s="8" customFormat="1" x14ac:dyDescent="0.2">
      <c r="A2" s="135" t="s">
        <v>64</v>
      </c>
      <c r="B2" s="3">
        <v>1</v>
      </c>
      <c r="C2" s="4"/>
      <c r="D2" s="4"/>
      <c r="E2" s="4"/>
      <c r="F2" s="4"/>
      <c r="G2" s="4"/>
      <c r="H2" s="622" t="s">
        <v>1</v>
      </c>
      <c r="I2" s="4"/>
      <c r="O2" s="5"/>
      <c r="P2" s="5"/>
      <c r="Q2" s="5"/>
      <c r="R2" s="5"/>
      <c r="S2" s="5"/>
      <c r="T2" s="5"/>
      <c r="U2" s="5"/>
      <c r="V2" s="5"/>
      <c r="W2" s="5"/>
      <c r="X2" s="5"/>
      <c r="Y2" s="5"/>
      <c r="Z2" s="5"/>
      <c r="AA2" s="5"/>
      <c r="AB2" s="5"/>
      <c r="AC2" s="5"/>
      <c r="AD2" s="5"/>
      <c r="AE2" s="5"/>
      <c r="AF2" s="5"/>
      <c r="AG2" s="5"/>
      <c r="AH2" s="4"/>
      <c r="AI2" s="6"/>
      <c r="AJ2" s="7"/>
      <c r="AK2" s="195"/>
      <c r="AL2" s="196"/>
    </row>
    <row r="3" spans="1:38" s="8" customFormat="1" ht="11.25" x14ac:dyDescent="0.2">
      <c r="A3" s="135" t="s">
        <v>65</v>
      </c>
      <c r="B3" s="65">
        <f>B4/B2</f>
        <v>2</v>
      </c>
      <c r="C3" s="12"/>
      <c r="D3" s="12"/>
      <c r="E3" s="12"/>
      <c r="F3" s="12"/>
      <c r="G3" s="12"/>
      <c r="H3" s="248"/>
      <c r="I3" s="12"/>
      <c r="J3" s="12"/>
      <c r="K3" s="12"/>
      <c r="L3" s="12"/>
      <c r="AK3" s="195"/>
      <c r="AL3" s="196"/>
    </row>
    <row r="4" spans="1:38" s="8" customFormat="1" ht="11.25" x14ac:dyDescent="0.2">
      <c r="A4" s="135" t="s">
        <v>66</v>
      </c>
      <c r="B4" s="10">
        <v>2</v>
      </c>
      <c r="C4" s="14"/>
      <c r="D4" s="14"/>
      <c r="E4" s="14"/>
      <c r="F4" s="14"/>
      <c r="G4" s="14"/>
      <c r="H4" s="14"/>
      <c r="I4" s="14"/>
      <c r="J4" s="14"/>
      <c r="K4" s="14"/>
      <c r="L4" s="14"/>
      <c r="M4" s="15"/>
      <c r="N4" s="15"/>
      <c r="O4" s="15"/>
      <c r="P4" s="15"/>
      <c r="Q4" s="15"/>
      <c r="R4" s="15"/>
      <c r="S4" s="15"/>
      <c r="T4" s="15"/>
      <c r="U4" s="15"/>
      <c r="V4" s="15"/>
      <c r="W4" s="15"/>
      <c r="X4" s="15"/>
      <c r="Y4" s="15"/>
      <c r="Z4" s="15"/>
      <c r="AA4" s="15"/>
      <c r="AB4" s="15"/>
      <c r="AC4" s="15"/>
      <c r="AD4" s="15"/>
      <c r="AE4" s="15"/>
      <c r="AF4" s="15"/>
      <c r="AG4" s="15"/>
      <c r="AH4" s="16"/>
      <c r="AI4" s="17"/>
      <c r="AJ4" s="18"/>
      <c r="AK4" s="195"/>
      <c r="AL4" s="196"/>
    </row>
    <row r="5" spans="1:38" s="8" customFormat="1" ht="11.25" x14ac:dyDescent="0.2">
      <c r="A5" s="135" t="s">
        <v>67</v>
      </c>
      <c r="B5" s="19">
        <v>2</v>
      </c>
      <c r="C5" s="14"/>
      <c r="D5" s="14"/>
      <c r="E5" s="14"/>
      <c r="F5" s="14"/>
      <c r="G5" s="14"/>
      <c r="H5" s="14"/>
      <c r="I5" s="14"/>
      <c r="J5" s="14"/>
      <c r="K5" s="14"/>
      <c r="L5" s="14"/>
      <c r="M5" s="15"/>
      <c r="N5" s="15"/>
      <c r="O5" s="15"/>
      <c r="P5" s="15"/>
      <c r="Q5" s="15"/>
      <c r="R5" s="15"/>
      <c r="S5" s="15"/>
      <c r="T5" s="15"/>
      <c r="U5" s="15"/>
      <c r="V5" s="15"/>
      <c r="W5" s="15"/>
      <c r="X5" s="15"/>
      <c r="Y5" s="15"/>
      <c r="Z5" s="15"/>
      <c r="AA5" s="15"/>
      <c r="AB5" s="15"/>
      <c r="AC5" s="15"/>
      <c r="AD5" s="15"/>
      <c r="AE5" s="15"/>
      <c r="AF5" s="15"/>
      <c r="AG5" s="15"/>
      <c r="AH5" s="20"/>
      <c r="AI5" s="18"/>
      <c r="AJ5" s="18"/>
      <c r="AK5" s="195"/>
      <c r="AL5" s="197"/>
    </row>
    <row r="6" spans="1:38" s="8" customFormat="1" ht="11.25" x14ac:dyDescent="0.2">
      <c r="A6" s="136" t="s">
        <v>68</v>
      </c>
      <c r="B6" s="452">
        <v>25.8</v>
      </c>
      <c r="C6" s="21"/>
      <c r="D6" s="21"/>
      <c r="E6" s="21"/>
      <c r="F6" s="21"/>
      <c r="G6" s="21"/>
      <c r="H6" s="21"/>
      <c r="I6" s="21"/>
      <c r="J6" s="21"/>
      <c r="K6" s="21"/>
      <c r="L6" s="21"/>
      <c r="M6" s="22"/>
      <c r="N6" s="22"/>
      <c r="O6" s="22"/>
      <c r="P6" s="22"/>
      <c r="Q6" s="22"/>
      <c r="R6" s="22"/>
      <c r="S6" s="22"/>
      <c r="T6" s="22"/>
      <c r="U6" s="22"/>
      <c r="V6" s="22"/>
      <c r="W6" s="22"/>
      <c r="X6" s="22"/>
      <c r="Y6" s="22"/>
      <c r="Z6" s="22"/>
      <c r="AA6" s="22"/>
      <c r="AB6" s="22"/>
      <c r="AC6" s="22"/>
      <c r="AD6" s="22"/>
      <c r="AE6" s="22"/>
      <c r="AF6" s="22"/>
      <c r="AG6" s="22"/>
      <c r="AH6" s="20"/>
      <c r="AI6" s="18"/>
      <c r="AJ6" s="18"/>
      <c r="AK6" s="195"/>
      <c r="AL6" s="197"/>
    </row>
    <row r="7" spans="1:38" s="8" customFormat="1" ht="11.25" x14ac:dyDescent="0.2">
      <c r="A7" s="135" t="s">
        <v>69</v>
      </c>
      <c r="B7" s="65">
        <f>B6*B4</f>
        <v>51.6</v>
      </c>
      <c r="C7" s="14"/>
      <c r="D7" s="14"/>
      <c r="E7" s="14"/>
      <c r="F7" s="14"/>
      <c r="G7" s="14"/>
      <c r="H7" s="14"/>
      <c r="I7" s="14"/>
      <c r="J7" s="14"/>
      <c r="K7" s="14"/>
      <c r="L7" s="14"/>
      <c r="M7" s="15"/>
      <c r="N7" s="15"/>
      <c r="O7" s="15"/>
      <c r="P7" s="15"/>
      <c r="Q7" s="15"/>
      <c r="R7" s="15"/>
      <c r="S7" s="15"/>
      <c r="T7" s="15"/>
      <c r="U7" s="15"/>
      <c r="V7" s="15"/>
      <c r="W7" s="15"/>
      <c r="X7" s="15"/>
      <c r="Y7" s="15"/>
      <c r="Z7" s="15"/>
      <c r="AA7" s="15"/>
      <c r="AB7" s="15"/>
      <c r="AC7" s="15"/>
      <c r="AD7" s="15"/>
      <c r="AE7" s="15"/>
      <c r="AF7" s="15"/>
      <c r="AG7" s="15"/>
      <c r="AH7" s="20"/>
      <c r="AI7" s="18"/>
      <c r="AJ7" s="18"/>
      <c r="AK7" s="195"/>
      <c r="AL7" s="197"/>
    </row>
    <row r="8" spans="1:38" s="8" customFormat="1" ht="11.25" x14ac:dyDescent="0.2">
      <c r="A8" s="135" t="s">
        <v>70</v>
      </c>
      <c r="B8" s="65">
        <f>B7/B5</f>
        <v>25.8</v>
      </c>
      <c r="C8" s="13"/>
      <c r="D8" s="13"/>
      <c r="E8" s="13"/>
      <c r="F8" s="13"/>
      <c r="G8" s="13"/>
      <c r="H8" s="13"/>
      <c r="I8" s="13"/>
      <c r="J8" s="13"/>
      <c r="K8" s="13"/>
      <c r="L8" s="13"/>
      <c r="M8" s="14"/>
      <c r="N8" s="14"/>
      <c r="O8" s="14"/>
      <c r="P8" s="14"/>
      <c r="Q8" s="14"/>
      <c r="R8" s="14"/>
      <c r="S8" s="14"/>
      <c r="T8" s="14"/>
      <c r="U8" s="14"/>
      <c r="V8" s="14"/>
      <c r="W8" s="14"/>
      <c r="X8" s="14"/>
      <c r="Y8" s="14"/>
      <c r="Z8" s="14"/>
      <c r="AA8" s="14"/>
      <c r="AB8" s="14"/>
      <c r="AC8" s="14"/>
      <c r="AD8" s="14"/>
      <c r="AE8" s="14"/>
      <c r="AF8" s="14"/>
      <c r="AG8" s="14"/>
      <c r="AH8" s="20"/>
      <c r="AI8" s="18"/>
      <c r="AJ8" s="18"/>
      <c r="AK8" s="195"/>
      <c r="AL8" s="197"/>
    </row>
    <row r="9" spans="1:38" s="8" customFormat="1" ht="11.25" x14ac:dyDescent="0.2">
      <c r="A9" s="135" t="s">
        <v>71</v>
      </c>
      <c r="B9" s="65">
        <f>B4*C9</f>
        <v>2</v>
      </c>
      <c r="C9" s="23">
        <v>1</v>
      </c>
      <c r="D9" s="203" t="s">
        <v>72</v>
      </c>
      <c r="E9" s="23"/>
      <c r="F9" s="23"/>
      <c r="G9" s="132" t="s">
        <v>73</v>
      </c>
      <c r="H9" s="133">
        <v>0.4</v>
      </c>
      <c r="J9" s="23"/>
      <c r="K9" s="23"/>
      <c r="L9" s="23"/>
      <c r="M9" s="14"/>
      <c r="N9" s="14"/>
      <c r="O9" s="14"/>
      <c r="P9" s="14"/>
      <c r="Q9" s="14"/>
      <c r="R9" s="14"/>
      <c r="S9" s="14"/>
      <c r="T9" s="14"/>
      <c r="U9" s="14"/>
      <c r="V9" s="14"/>
      <c r="W9" s="14"/>
      <c r="X9" s="14"/>
      <c r="Y9" s="14"/>
      <c r="Z9" s="14"/>
      <c r="AA9" s="14"/>
      <c r="AB9" s="14"/>
      <c r="AC9" s="14"/>
      <c r="AD9" s="14"/>
      <c r="AE9" s="14"/>
      <c r="AF9" s="14"/>
      <c r="AG9" s="14"/>
      <c r="AK9" s="195"/>
      <c r="AL9" s="197"/>
    </row>
    <row r="10" spans="1:38" s="8" customFormat="1" ht="11.25" x14ac:dyDescent="0.2">
      <c r="A10" s="135" t="s">
        <v>74</v>
      </c>
      <c r="B10" s="11">
        <f>B4*C10</f>
        <v>4</v>
      </c>
      <c r="C10" s="23">
        <v>2</v>
      </c>
      <c r="D10" s="203" t="s">
        <v>72</v>
      </c>
      <c r="E10" s="23"/>
      <c r="F10" s="23"/>
      <c r="G10" s="134" t="s">
        <v>75</v>
      </c>
      <c r="H10" s="133">
        <v>0.53700000000000003</v>
      </c>
      <c r="J10" s="23"/>
      <c r="K10" s="23"/>
      <c r="L10" s="23"/>
      <c r="M10" s="11"/>
      <c r="N10" s="11"/>
      <c r="O10" s="11"/>
      <c r="P10" s="11"/>
      <c r="Q10" s="11"/>
      <c r="R10" s="11"/>
      <c r="S10" s="11"/>
      <c r="T10" s="11"/>
      <c r="U10" s="11"/>
      <c r="V10" s="11"/>
      <c r="W10" s="11"/>
      <c r="X10" s="11"/>
      <c r="Y10" s="11"/>
      <c r="Z10" s="11"/>
      <c r="AA10" s="11"/>
      <c r="AB10" s="11"/>
      <c r="AC10" s="11"/>
      <c r="AD10" s="11"/>
      <c r="AE10" s="11"/>
      <c r="AF10" s="11"/>
      <c r="AG10" s="11"/>
      <c r="AK10" s="195"/>
      <c r="AL10" s="198"/>
    </row>
    <row r="11" spans="1:38" s="8" customFormat="1" ht="11.25" x14ac:dyDescent="0.2">
      <c r="A11" s="200" t="s">
        <v>76</v>
      </c>
      <c r="B11" s="201">
        <f>C11*B4</f>
        <v>2</v>
      </c>
      <c r="C11" s="202">
        <v>1</v>
      </c>
      <c r="D11" s="203" t="s">
        <v>72</v>
      </c>
      <c r="E11" s="202"/>
      <c r="F11" s="202"/>
      <c r="G11" s="202"/>
      <c r="H11" s="202"/>
      <c r="I11" s="202"/>
      <c r="J11" s="202"/>
      <c r="K11" s="202"/>
      <c r="L11" s="202"/>
      <c r="M11" s="25"/>
      <c r="N11" s="25"/>
      <c r="O11" s="25"/>
      <c r="P11" s="25"/>
      <c r="Q11" s="25"/>
      <c r="R11" s="25"/>
      <c r="S11" s="25"/>
      <c r="T11" s="25"/>
      <c r="U11" s="25"/>
      <c r="V11" s="25"/>
      <c r="W11" s="25"/>
      <c r="X11" s="25"/>
      <c r="Y11" s="25"/>
      <c r="Z11" s="25"/>
      <c r="AA11" s="25"/>
      <c r="AB11" s="25"/>
      <c r="AC11" s="25"/>
      <c r="AD11" s="25"/>
      <c r="AE11" s="25"/>
      <c r="AF11" s="25"/>
      <c r="AG11" s="25"/>
      <c r="AH11" s="11"/>
      <c r="AI11" s="11"/>
      <c r="AJ11" s="11"/>
      <c r="AK11" s="195"/>
      <c r="AL11" s="197"/>
    </row>
    <row r="12" spans="1:38" s="8" customFormat="1" ht="11.25" x14ac:dyDescent="0.2">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11"/>
      <c r="AI12" s="11"/>
      <c r="AJ12" s="11"/>
      <c r="AK12" s="195"/>
      <c r="AL12" s="197"/>
    </row>
    <row r="13" spans="1:38" s="26" customFormat="1" ht="59.25" x14ac:dyDescent="0.2">
      <c r="A13" s="66" t="s">
        <v>77</v>
      </c>
      <c r="B13" s="67" t="s">
        <v>78</v>
      </c>
      <c r="C13" s="67" t="s">
        <v>79</v>
      </c>
      <c r="D13" s="67" t="s">
        <v>79</v>
      </c>
      <c r="E13" s="67" t="s">
        <v>249</v>
      </c>
      <c r="F13" s="67" t="s">
        <v>249</v>
      </c>
      <c r="G13" s="67" t="s">
        <v>83</v>
      </c>
      <c r="H13" s="67" t="s">
        <v>83</v>
      </c>
      <c r="I13" s="67" t="s">
        <v>83</v>
      </c>
      <c r="J13" s="67" t="s">
        <v>83</v>
      </c>
      <c r="K13" s="67" t="s">
        <v>83</v>
      </c>
      <c r="L13" s="659" t="s">
        <v>83</v>
      </c>
      <c r="M13" s="163" t="s">
        <v>84</v>
      </c>
      <c r="N13" s="438"/>
      <c r="O13" s="438"/>
      <c r="P13" s="438"/>
      <c r="Q13" s="438"/>
      <c r="R13" s="438"/>
      <c r="S13" s="438"/>
      <c r="T13" s="438"/>
      <c r="U13" s="438"/>
      <c r="V13" s="438"/>
      <c r="W13" s="438"/>
      <c r="X13" s="438"/>
      <c r="Y13" s="438"/>
      <c r="Z13" s="438"/>
      <c r="AA13" s="438"/>
      <c r="AB13" s="438"/>
      <c r="AC13" s="438"/>
      <c r="AD13" s="438"/>
      <c r="AE13" s="438"/>
      <c r="AF13" s="438"/>
      <c r="AG13" s="438"/>
    </row>
    <row r="14" spans="1:38" s="27" customFormat="1" x14ac:dyDescent="0.2">
      <c r="A14" s="66" t="s">
        <v>85</v>
      </c>
      <c r="B14" s="125" t="s">
        <v>86</v>
      </c>
      <c r="C14" s="125" t="s">
        <v>87</v>
      </c>
      <c r="D14" s="125" t="s">
        <v>88</v>
      </c>
      <c r="E14" s="125" t="s">
        <v>89</v>
      </c>
      <c r="F14" s="125" t="s">
        <v>235</v>
      </c>
      <c r="G14" s="125" t="s">
        <v>102</v>
      </c>
      <c r="H14" s="125" t="s">
        <v>103</v>
      </c>
      <c r="I14" s="125" t="s">
        <v>104</v>
      </c>
      <c r="J14" s="125" t="s">
        <v>105</v>
      </c>
      <c r="K14" s="125" t="s">
        <v>106</v>
      </c>
      <c r="L14" s="718" t="s">
        <v>107</v>
      </c>
      <c r="M14" s="164" t="s">
        <v>113</v>
      </c>
      <c r="N14" s="439"/>
      <c r="O14" s="439"/>
      <c r="P14" s="439"/>
      <c r="Q14" s="439"/>
      <c r="R14" s="439"/>
      <c r="S14" s="439"/>
      <c r="T14" s="439"/>
      <c r="U14" s="439"/>
      <c r="V14" s="439"/>
      <c r="W14" s="439"/>
      <c r="X14" s="439"/>
      <c r="Y14" s="439"/>
      <c r="Z14" s="439"/>
      <c r="AA14" s="439"/>
      <c r="AB14" s="439"/>
      <c r="AC14" s="439"/>
      <c r="AD14" s="439"/>
      <c r="AE14" s="439"/>
      <c r="AF14" s="439"/>
      <c r="AG14" s="439"/>
    </row>
    <row r="15" spans="1:38" s="27" customFormat="1" x14ac:dyDescent="0.2">
      <c r="A15" s="66" t="s">
        <v>114</v>
      </c>
      <c r="B15" s="125">
        <v>1</v>
      </c>
      <c r="C15" s="125">
        <v>11</v>
      </c>
      <c r="D15" s="125">
        <v>12</v>
      </c>
      <c r="E15" s="125">
        <v>13</v>
      </c>
      <c r="F15" s="125">
        <v>14</v>
      </c>
      <c r="G15" s="125">
        <v>15</v>
      </c>
      <c r="H15" s="125">
        <v>16</v>
      </c>
      <c r="I15" s="125">
        <v>17</v>
      </c>
      <c r="J15" s="125">
        <v>18</v>
      </c>
      <c r="K15" s="125">
        <v>19</v>
      </c>
      <c r="L15" s="718">
        <v>20</v>
      </c>
      <c r="M15" s="164">
        <v>21</v>
      </c>
      <c r="N15" s="439"/>
      <c r="O15" s="439"/>
      <c r="P15" s="439"/>
      <c r="Q15" s="439"/>
      <c r="R15" s="439"/>
      <c r="S15" s="439"/>
      <c r="T15" s="439"/>
      <c r="U15" s="439"/>
      <c r="V15" s="439"/>
      <c r="W15" s="439"/>
      <c r="X15" s="439"/>
      <c r="Y15" s="439"/>
      <c r="Z15" s="439"/>
      <c r="AA15" s="439"/>
      <c r="AB15" s="439"/>
      <c r="AC15" s="439"/>
      <c r="AD15" s="439"/>
      <c r="AE15" s="439"/>
      <c r="AF15" s="439"/>
      <c r="AG15" s="439"/>
    </row>
    <row r="16" spans="1:38" x14ac:dyDescent="0.2">
      <c r="A16" s="66" t="s">
        <v>115</v>
      </c>
      <c r="B16" s="303" t="s">
        <v>242</v>
      </c>
      <c r="C16" s="451" t="s">
        <v>242</v>
      </c>
      <c r="D16" s="451" t="s">
        <v>250</v>
      </c>
      <c r="E16" s="451" t="s">
        <v>251</v>
      </c>
      <c r="F16" s="451" t="s">
        <v>252</v>
      </c>
      <c r="G16" s="780" t="s">
        <v>119</v>
      </c>
      <c r="H16" s="781"/>
      <c r="I16" s="781"/>
      <c r="J16" s="781"/>
      <c r="K16" s="781"/>
      <c r="L16" s="781"/>
      <c r="M16" s="218" t="s">
        <v>121</v>
      </c>
      <c r="N16" s="439"/>
      <c r="O16" s="439"/>
      <c r="P16" s="439"/>
      <c r="Q16" s="439"/>
      <c r="R16" s="439"/>
      <c r="S16" s="439"/>
      <c r="T16" s="439"/>
      <c r="U16" s="439"/>
      <c r="V16" s="439"/>
      <c r="W16" s="439"/>
      <c r="X16" s="439"/>
      <c r="Y16" s="439"/>
      <c r="Z16" s="439"/>
      <c r="AA16" s="439"/>
      <c r="AB16" s="439"/>
      <c r="AC16" s="439"/>
      <c r="AD16" s="439"/>
      <c r="AE16" s="439"/>
      <c r="AF16" s="439"/>
      <c r="AG16" s="439"/>
    </row>
    <row r="17" spans="1:33" ht="12.75" x14ac:dyDescent="0.2">
      <c r="A17" s="155" t="s">
        <v>122</v>
      </c>
      <c r="B17" s="638"/>
      <c r="C17" s="31"/>
      <c r="D17" s="31"/>
      <c r="E17" s="31"/>
      <c r="F17" s="31"/>
      <c r="G17" s="31"/>
      <c r="H17" s="31"/>
      <c r="I17" s="31"/>
      <c r="J17" s="31"/>
      <c r="K17" s="31"/>
      <c r="L17" s="33"/>
      <c r="M17" s="34"/>
      <c r="N17" s="82"/>
      <c r="O17" s="82"/>
      <c r="P17" s="82"/>
      <c r="Q17" s="82"/>
      <c r="R17" s="82"/>
      <c r="S17" s="82"/>
      <c r="T17" s="82"/>
      <c r="U17" s="82"/>
      <c r="V17" s="82"/>
      <c r="W17" s="82"/>
      <c r="X17" s="82"/>
      <c r="Y17" s="82"/>
      <c r="Z17" s="82"/>
      <c r="AA17" s="82"/>
      <c r="AB17" s="82"/>
      <c r="AC17" s="82"/>
      <c r="AD17" s="82"/>
      <c r="AE17" s="82"/>
      <c r="AF17" s="82"/>
      <c r="AG17" s="82"/>
    </row>
    <row r="18" spans="1:33" x14ac:dyDescent="0.2">
      <c r="A18" s="178" t="s">
        <v>123</v>
      </c>
      <c r="B18" s="177">
        <f t="shared" ref="B18:M18" si="0">IF(B101&lt;80,B102,MIN(B101,80))</f>
        <v>0</v>
      </c>
      <c r="C18" s="177">
        <f t="shared" si="0"/>
        <v>0</v>
      </c>
      <c r="D18" s="177">
        <f t="shared" si="0"/>
        <v>0</v>
      </c>
      <c r="E18" s="177">
        <f t="shared" si="0"/>
        <v>5</v>
      </c>
      <c r="F18" s="177">
        <f t="shared" si="0"/>
        <v>27</v>
      </c>
      <c r="G18" s="177">
        <f t="shared" si="0"/>
        <v>80</v>
      </c>
      <c r="H18" s="177">
        <f t="shared" si="0"/>
        <v>80</v>
      </c>
      <c r="I18" s="177">
        <f t="shared" si="0"/>
        <v>80</v>
      </c>
      <c r="J18" s="177">
        <f t="shared" si="0"/>
        <v>80</v>
      </c>
      <c r="K18" s="177">
        <f t="shared" si="0"/>
        <v>80</v>
      </c>
      <c r="L18" s="653">
        <f t="shared" si="0"/>
        <v>80</v>
      </c>
      <c r="M18" s="177">
        <f t="shared" si="0"/>
        <v>15</v>
      </c>
      <c r="N18" s="108"/>
      <c r="O18" s="108"/>
      <c r="P18" s="108"/>
      <c r="Q18" s="108"/>
      <c r="R18" s="108"/>
      <c r="S18" s="108"/>
      <c r="T18" s="108"/>
      <c r="U18" s="108"/>
      <c r="V18" s="108"/>
      <c r="W18" s="108"/>
      <c r="X18" s="108"/>
      <c r="Y18" s="108"/>
      <c r="Z18" s="108"/>
      <c r="AA18" s="108"/>
      <c r="AB18" s="108"/>
      <c r="AC18" s="108"/>
      <c r="AD18" s="108"/>
      <c r="AE18" s="108"/>
      <c r="AF18" s="108"/>
      <c r="AG18" s="108"/>
    </row>
    <row r="19" spans="1:33" x14ac:dyDescent="0.2">
      <c r="A19" s="34" t="s">
        <v>124</v>
      </c>
      <c r="B19" s="71">
        <v>0.5</v>
      </c>
      <c r="C19" s="71">
        <v>0.55000000000000004</v>
      </c>
      <c r="D19" s="71">
        <v>0.65</v>
      </c>
      <c r="E19" s="71">
        <v>0.75</v>
      </c>
      <c r="F19" s="71">
        <v>0.8</v>
      </c>
      <c r="G19" s="71">
        <v>0.8</v>
      </c>
      <c r="H19" s="71">
        <v>0.8</v>
      </c>
      <c r="I19" s="71">
        <v>0.8</v>
      </c>
      <c r="J19" s="71">
        <v>0.8</v>
      </c>
      <c r="K19" s="71">
        <v>0.8</v>
      </c>
      <c r="L19" s="645">
        <v>0.8</v>
      </c>
      <c r="M19" s="215">
        <v>0.4</v>
      </c>
      <c r="N19" s="440"/>
      <c r="O19" s="440"/>
      <c r="P19" s="440"/>
      <c r="Q19" s="440"/>
      <c r="R19" s="440"/>
      <c r="S19" s="440"/>
      <c r="T19" s="440"/>
      <c r="U19" s="440"/>
      <c r="V19" s="440"/>
      <c r="W19" s="440"/>
      <c r="X19" s="440"/>
      <c r="Y19" s="440"/>
      <c r="Z19" s="440"/>
      <c r="AA19" s="440"/>
      <c r="AB19" s="440"/>
      <c r="AC19" s="440"/>
      <c r="AD19" s="440"/>
      <c r="AE19" s="440"/>
      <c r="AF19" s="440"/>
      <c r="AG19" s="440"/>
    </row>
    <row r="20" spans="1:33" x14ac:dyDescent="0.2">
      <c r="A20" s="204" t="s">
        <v>125</v>
      </c>
      <c r="B20" s="211"/>
      <c r="C20" s="211"/>
      <c r="D20" s="211"/>
      <c r="E20" s="211"/>
      <c r="F20" s="211"/>
      <c r="G20" s="211"/>
      <c r="H20" s="211"/>
      <c r="I20" s="211"/>
      <c r="J20" s="211"/>
      <c r="K20" s="211"/>
      <c r="L20" s="211"/>
      <c r="M20" s="305"/>
      <c r="N20" s="440"/>
      <c r="O20" s="440"/>
      <c r="P20" s="440"/>
      <c r="Q20" s="440"/>
      <c r="R20" s="440"/>
      <c r="S20" s="440"/>
      <c r="T20" s="440"/>
      <c r="U20" s="440"/>
      <c r="V20" s="440"/>
      <c r="W20" s="440"/>
      <c r="X20" s="440"/>
      <c r="Y20" s="440"/>
      <c r="Z20" s="440"/>
      <c r="AA20" s="440"/>
      <c r="AB20" s="440"/>
      <c r="AC20" s="440"/>
      <c r="AD20" s="440"/>
      <c r="AE20" s="440"/>
      <c r="AF20" s="440"/>
      <c r="AG20" s="440"/>
    </row>
    <row r="21" spans="1:33" s="38" customFormat="1" x14ac:dyDescent="0.2">
      <c r="A21" s="205" t="s">
        <v>126</v>
      </c>
      <c r="B21" s="209">
        <f t="shared" ref="B21:M21" si="1">B19*$B$8</f>
        <v>12.9</v>
      </c>
      <c r="C21" s="209">
        <f t="shared" si="1"/>
        <v>14.190000000000001</v>
      </c>
      <c r="D21" s="209">
        <f t="shared" si="1"/>
        <v>16.77</v>
      </c>
      <c r="E21" s="209">
        <f t="shared" si="1"/>
        <v>19.350000000000001</v>
      </c>
      <c r="F21" s="209">
        <f t="shared" si="1"/>
        <v>20.64</v>
      </c>
      <c r="G21" s="209">
        <f t="shared" si="1"/>
        <v>20.64</v>
      </c>
      <c r="H21" s="209">
        <f t="shared" si="1"/>
        <v>20.64</v>
      </c>
      <c r="I21" s="209">
        <f t="shared" si="1"/>
        <v>20.64</v>
      </c>
      <c r="J21" s="209">
        <f t="shared" si="1"/>
        <v>20.64</v>
      </c>
      <c r="K21" s="209">
        <f t="shared" si="1"/>
        <v>20.64</v>
      </c>
      <c r="L21" s="210">
        <f t="shared" si="1"/>
        <v>20.64</v>
      </c>
      <c r="M21" s="209">
        <f t="shared" si="1"/>
        <v>10.32</v>
      </c>
      <c r="N21" s="441"/>
      <c r="O21" s="441"/>
      <c r="P21" s="441"/>
      <c r="Q21" s="441"/>
      <c r="R21" s="441"/>
      <c r="S21" s="441"/>
      <c r="T21" s="441"/>
      <c r="U21" s="441"/>
      <c r="V21" s="441"/>
      <c r="W21" s="441"/>
      <c r="X21" s="441"/>
      <c r="Y21" s="441"/>
      <c r="Z21" s="441"/>
      <c r="AA21" s="441"/>
      <c r="AB21" s="441"/>
      <c r="AC21" s="441"/>
      <c r="AD21" s="441"/>
      <c r="AE21" s="441"/>
      <c r="AF21" s="441"/>
      <c r="AG21" s="441"/>
    </row>
    <row r="22" spans="1:33" s="40" customFormat="1" x14ac:dyDescent="0.2">
      <c r="A22" s="205" t="s">
        <v>127</v>
      </c>
      <c r="B22" s="37">
        <f t="shared" ref="B22:M22" si="2">B21*$B$5</f>
        <v>25.8</v>
      </c>
      <c r="C22" s="37">
        <f t="shared" si="2"/>
        <v>28.380000000000003</v>
      </c>
      <c r="D22" s="37">
        <f t="shared" si="2"/>
        <v>33.54</v>
      </c>
      <c r="E22" s="37">
        <f t="shared" si="2"/>
        <v>38.700000000000003</v>
      </c>
      <c r="F22" s="37">
        <f t="shared" si="2"/>
        <v>41.28</v>
      </c>
      <c r="G22" s="37">
        <f t="shared" si="2"/>
        <v>41.28</v>
      </c>
      <c r="H22" s="37">
        <f t="shared" si="2"/>
        <v>41.28</v>
      </c>
      <c r="I22" s="37">
        <f t="shared" si="2"/>
        <v>41.28</v>
      </c>
      <c r="J22" s="37">
        <f t="shared" si="2"/>
        <v>41.28</v>
      </c>
      <c r="K22" s="37">
        <f t="shared" si="2"/>
        <v>41.28</v>
      </c>
      <c r="L22" s="138">
        <f t="shared" si="2"/>
        <v>41.28</v>
      </c>
      <c r="M22" s="37">
        <f t="shared" si="2"/>
        <v>20.64</v>
      </c>
      <c r="N22" s="442"/>
      <c r="O22" s="442"/>
      <c r="P22" s="442"/>
      <c r="Q22" s="442"/>
      <c r="R22" s="442"/>
      <c r="S22" s="442"/>
      <c r="T22" s="442"/>
      <c r="U22" s="442"/>
      <c r="V22" s="442"/>
      <c r="W22" s="442"/>
      <c r="X22" s="442"/>
      <c r="Y22" s="442"/>
      <c r="Z22" s="442"/>
      <c r="AA22" s="442"/>
      <c r="AB22" s="442"/>
      <c r="AC22" s="442"/>
      <c r="AD22" s="442"/>
      <c r="AE22" s="442"/>
      <c r="AF22" s="442"/>
      <c r="AG22" s="442"/>
    </row>
    <row r="23" spans="1:33" s="40" customFormat="1" x14ac:dyDescent="0.2">
      <c r="A23" s="205" t="s">
        <v>128</v>
      </c>
      <c r="B23" s="139">
        <f t="shared" ref="B23:M23" si="3">$B$9</f>
        <v>2</v>
      </c>
      <c r="C23" s="139">
        <f t="shared" si="3"/>
        <v>2</v>
      </c>
      <c r="D23" s="139">
        <f t="shared" si="3"/>
        <v>2</v>
      </c>
      <c r="E23" s="139">
        <f t="shared" si="3"/>
        <v>2</v>
      </c>
      <c r="F23" s="139">
        <f t="shared" si="3"/>
        <v>2</v>
      </c>
      <c r="G23" s="139">
        <f t="shared" si="3"/>
        <v>2</v>
      </c>
      <c r="H23" s="139">
        <f t="shared" si="3"/>
        <v>2</v>
      </c>
      <c r="I23" s="139">
        <f t="shared" si="3"/>
        <v>2</v>
      </c>
      <c r="J23" s="139">
        <f t="shared" si="3"/>
        <v>2</v>
      </c>
      <c r="K23" s="139">
        <f t="shared" si="3"/>
        <v>2</v>
      </c>
      <c r="L23" s="140">
        <f t="shared" si="3"/>
        <v>2</v>
      </c>
      <c r="M23" s="139">
        <f t="shared" si="3"/>
        <v>2</v>
      </c>
      <c r="N23" s="443"/>
      <c r="O23" s="443"/>
      <c r="P23" s="443"/>
      <c r="Q23" s="443"/>
      <c r="R23" s="443"/>
      <c r="S23" s="443"/>
      <c r="T23" s="443"/>
      <c r="U23" s="443"/>
      <c r="V23" s="443"/>
      <c r="W23" s="443"/>
      <c r="X23" s="443"/>
      <c r="Y23" s="443"/>
      <c r="Z23" s="443"/>
      <c r="AA23" s="443"/>
      <c r="AB23" s="443"/>
      <c r="AC23" s="443"/>
      <c r="AD23" s="443"/>
      <c r="AE23" s="443"/>
      <c r="AF23" s="443"/>
      <c r="AG23" s="443"/>
    </row>
    <row r="24" spans="1:33" s="40" customFormat="1" x14ac:dyDescent="0.2">
      <c r="A24" s="205" t="s">
        <v>129</v>
      </c>
      <c r="B24" s="139">
        <f t="shared" ref="B24:L24" si="4">IF(ISBLANK(B145),0,$B$10)</f>
        <v>0</v>
      </c>
      <c r="C24" s="139">
        <f t="shared" si="4"/>
        <v>0</v>
      </c>
      <c r="D24" s="139">
        <f t="shared" si="4"/>
        <v>0</v>
      </c>
      <c r="E24" s="139">
        <f t="shared" si="4"/>
        <v>0</v>
      </c>
      <c r="F24" s="139">
        <f t="shared" si="4"/>
        <v>0</v>
      </c>
      <c r="G24" s="139">
        <f t="shared" si="4"/>
        <v>4</v>
      </c>
      <c r="H24" s="139">
        <f t="shared" si="4"/>
        <v>4</v>
      </c>
      <c r="I24" s="139">
        <f t="shared" si="4"/>
        <v>4</v>
      </c>
      <c r="J24" s="139">
        <f t="shared" si="4"/>
        <v>4</v>
      </c>
      <c r="K24" s="139">
        <f t="shared" si="4"/>
        <v>4</v>
      </c>
      <c r="L24" s="140">
        <f t="shared" si="4"/>
        <v>4</v>
      </c>
      <c r="M24" s="139">
        <f>IF(ISBLANK(#REF!),0,$B$10)</f>
        <v>4</v>
      </c>
      <c r="N24" s="443"/>
      <c r="O24" s="443"/>
      <c r="P24" s="443"/>
      <c r="Q24" s="443"/>
      <c r="R24" s="443"/>
      <c r="S24" s="443"/>
      <c r="T24" s="443"/>
      <c r="U24" s="443"/>
      <c r="V24" s="443"/>
      <c r="W24" s="443"/>
      <c r="X24" s="443"/>
      <c r="Y24" s="443"/>
      <c r="Z24" s="443"/>
      <c r="AA24" s="443"/>
      <c r="AB24" s="443"/>
      <c r="AC24" s="443"/>
      <c r="AD24" s="443"/>
      <c r="AE24" s="443"/>
      <c r="AF24" s="443"/>
      <c r="AG24" s="443"/>
    </row>
    <row r="25" spans="1:33" s="40" customFormat="1" x14ac:dyDescent="0.2">
      <c r="A25" s="205" t="s">
        <v>130</v>
      </c>
      <c r="B25" s="37">
        <f t="shared" ref="B25:M25" si="5">B21*$B$5+SUM(B23:B24)</f>
        <v>27.8</v>
      </c>
      <c r="C25" s="37">
        <f t="shared" si="5"/>
        <v>30.380000000000003</v>
      </c>
      <c r="D25" s="37">
        <f t="shared" si="5"/>
        <v>35.54</v>
      </c>
      <c r="E25" s="37">
        <f t="shared" si="5"/>
        <v>40.700000000000003</v>
      </c>
      <c r="F25" s="37">
        <f t="shared" si="5"/>
        <v>43.28</v>
      </c>
      <c r="G25" s="37">
        <f t="shared" si="5"/>
        <v>47.28</v>
      </c>
      <c r="H25" s="37">
        <f t="shared" si="5"/>
        <v>47.28</v>
      </c>
      <c r="I25" s="37">
        <f t="shared" si="5"/>
        <v>47.28</v>
      </c>
      <c r="J25" s="37">
        <f t="shared" si="5"/>
        <v>47.28</v>
      </c>
      <c r="K25" s="37">
        <f t="shared" si="5"/>
        <v>47.28</v>
      </c>
      <c r="L25" s="138">
        <f t="shared" si="5"/>
        <v>47.28</v>
      </c>
      <c r="M25" s="37">
        <f t="shared" si="5"/>
        <v>26.64</v>
      </c>
      <c r="N25" s="442"/>
      <c r="O25" s="442"/>
      <c r="P25" s="442"/>
      <c r="Q25" s="442"/>
      <c r="R25" s="442"/>
      <c r="S25" s="442"/>
      <c r="T25" s="442"/>
      <c r="U25" s="442"/>
      <c r="V25" s="442"/>
      <c r="W25" s="442"/>
      <c r="X25" s="442"/>
      <c r="Y25" s="442"/>
      <c r="Z25" s="442"/>
      <c r="AA25" s="442"/>
      <c r="AB25" s="442"/>
      <c r="AC25" s="442"/>
      <c r="AD25" s="442"/>
      <c r="AE25" s="442"/>
      <c r="AF25" s="442"/>
      <c r="AG25" s="442"/>
    </row>
    <row r="26" spans="1:33" s="40" customFormat="1" x14ac:dyDescent="0.2">
      <c r="A26" s="206" t="s">
        <v>131</v>
      </c>
      <c r="B26" s="39">
        <f t="shared" ref="B26:M26" si="6">-IF(ISBLANK(B144),0,MIN(B$22*$H$10,B$22-$B$7*$H$9))</f>
        <v>-5.16</v>
      </c>
      <c r="C26" s="39">
        <f t="shared" si="6"/>
        <v>-7.740000000000002</v>
      </c>
      <c r="D26" s="39">
        <f t="shared" si="6"/>
        <v>-12.899999999999999</v>
      </c>
      <c r="E26" s="39">
        <f t="shared" si="6"/>
        <v>-18.060000000000002</v>
      </c>
      <c r="F26" s="39">
        <f t="shared" si="6"/>
        <v>-20.64</v>
      </c>
      <c r="G26" s="39">
        <f t="shared" si="6"/>
        <v>0</v>
      </c>
      <c r="H26" s="39">
        <f t="shared" si="6"/>
        <v>0</v>
      </c>
      <c r="I26" s="39">
        <f t="shared" si="6"/>
        <v>0</v>
      </c>
      <c r="J26" s="39">
        <f t="shared" si="6"/>
        <v>0</v>
      </c>
      <c r="K26" s="39">
        <f t="shared" si="6"/>
        <v>0</v>
      </c>
      <c r="L26" s="141">
        <f t="shared" si="6"/>
        <v>0</v>
      </c>
      <c r="M26" s="39">
        <f t="shared" si="6"/>
        <v>0</v>
      </c>
      <c r="N26" s="442"/>
      <c r="O26" s="442"/>
      <c r="P26" s="442"/>
      <c r="Q26" s="442"/>
      <c r="R26" s="442"/>
      <c r="S26" s="442"/>
      <c r="T26" s="442"/>
      <c r="U26" s="442"/>
      <c r="V26" s="442"/>
      <c r="W26" s="442"/>
      <c r="X26" s="442"/>
      <c r="Y26" s="442"/>
      <c r="Z26" s="442"/>
      <c r="AA26" s="442"/>
      <c r="AB26" s="442"/>
      <c r="AC26" s="442"/>
      <c r="AD26" s="442"/>
      <c r="AE26" s="442"/>
      <c r="AF26" s="442"/>
      <c r="AG26" s="442"/>
    </row>
    <row r="27" spans="1:33" s="40" customFormat="1" x14ac:dyDescent="0.2">
      <c r="A27" s="205" t="s">
        <v>132</v>
      </c>
      <c r="B27" s="39">
        <f t="shared" ref="B27:M27" si="7">SUM(B25:B26)</f>
        <v>22.64</v>
      </c>
      <c r="C27" s="39">
        <f t="shared" si="7"/>
        <v>22.64</v>
      </c>
      <c r="D27" s="39">
        <f t="shared" si="7"/>
        <v>22.64</v>
      </c>
      <c r="E27" s="39">
        <f t="shared" si="7"/>
        <v>22.64</v>
      </c>
      <c r="F27" s="39">
        <f t="shared" si="7"/>
        <v>22.64</v>
      </c>
      <c r="G27" s="39">
        <f t="shared" si="7"/>
        <v>47.28</v>
      </c>
      <c r="H27" s="39">
        <f t="shared" si="7"/>
        <v>47.28</v>
      </c>
      <c r="I27" s="39">
        <f t="shared" si="7"/>
        <v>47.28</v>
      </c>
      <c r="J27" s="39">
        <f t="shared" si="7"/>
        <v>47.28</v>
      </c>
      <c r="K27" s="39">
        <f t="shared" si="7"/>
        <v>47.28</v>
      </c>
      <c r="L27" s="141">
        <f t="shared" si="7"/>
        <v>47.28</v>
      </c>
      <c r="M27" s="37">
        <f t="shared" si="7"/>
        <v>26.64</v>
      </c>
      <c r="N27" s="442"/>
      <c r="O27" s="442"/>
      <c r="P27" s="442"/>
      <c r="Q27" s="442"/>
      <c r="R27" s="442"/>
      <c r="S27" s="442"/>
      <c r="T27" s="442"/>
      <c r="U27" s="442"/>
      <c r="V27" s="442"/>
      <c r="W27" s="442"/>
      <c r="X27" s="442"/>
      <c r="Y27" s="442"/>
      <c r="Z27" s="442"/>
      <c r="AA27" s="442"/>
      <c r="AB27" s="442"/>
      <c r="AC27" s="442"/>
      <c r="AD27" s="442"/>
      <c r="AE27" s="442"/>
      <c r="AF27" s="442"/>
      <c r="AG27" s="442"/>
    </row>
    <row r="28" spans="1:33" s="40" customFormat="1" x14ac:dyDescent="0.2">
      <c r="A28" s="206" t="s">
        <v>133</v>
      </c>
      <c r="B28" s="41">
        <f t="shared" ref="B28:L28" si="8">AVERAGE($B$22:$L$22)</f>
        <v>37.761818181818171</v>
      </c>
      <c r="C28" s="41">
        <f t="shared" si="8"/>
        <v>37.761818181818171</v>
      </c>
      <c r="D28" s="41">
        <f t="shared" si="8"/>
        <v>37.761818181818171</v>
      </c>
      <c r="E28" s="41">
        <f t="shared" si="8"/>
        <v>37.761818181818171</v>
      </c>
      <c r="F28" s="41">
        <f t="shared" si="8"/>
        <v>37.761818181818171</v>
      </c>
      <c r="G28" s="41">
        <f t="shared" si="8"/>
        <v>37.761818181818171</v>
      </c>
      <c r="H28" s="41">
        <f t="shared" si="8"/>
        <v>37.761818181818171</v>
      </c>
      <c r="I28" s="41">
        <f t="shared" si="8"/>
        <v>37.761818181818171</v>
      </c>
      <c r="J28" s="41">
        <f t="shared" si="8"/>
        <v>37.761818181818171</v>
      </c>
      <c r="K28" s="41">
        <f t="shared" si="8"/>
        <v>37.761818181818171</v>
      </c>
      <c r="L28" s="639">
        <f t="shared" si="8"/>
        <v>37.761818181818171</v>
      </c>
      <c r="M28" s="37">
        <f>M27</f>
        <v>26.64</v>
      </c>
      <c r="N28" s="442"/>
      <c r="O28" s="442"/>
      <c r="P28" s="442"/>
      <c r="Q28" s="442"/>
      <c r="R28" s="442"/>
      <c r="S28" s="442"/>
      <c r="T28" s="442"/>
      <c r="U28" s="442"/>
      <c r="V28" s="442"/>
      <c r="W28" s="442"/>
      <c r="X28" s="442"/>
      <c r="Y28" s="442"/>
      <c r="Z28" s="442"/>
      <c r="AA28" s="442"/>
      <c r="AB28" s="442"/>
      <c r="AC28" s="442"/>
      <c r="AD28" s="442"/>
      <c r="AE28" s="442"/>
      <c r="AF28" s="442"/>
      <c r="AG28" s="442"/>
    </row>
    <row r="29" spans="1:33" s="40" customFormat="1" x14ac:dyDescent="0.2">
      <c r="A29" s="207" t="s">
        <v>134</v>
      </c>
      <c r="B29" s="638"/>
      <c r="C29" s="31"/>
      <c r="D29" s="31"/>
      <c r="E29" s="31"/>
      <c r="F29" s="31"/>
      <c r="G29" s="31"/>
      <c r="H29" s="31"/>
      <c r="I29" s="31"/>
      <c r="J29" s="31"/>
      <c r="K29" s="31"/>
      <c r="L29" s="33"/>
      <c r="M29" s="37"/>
      <c r="N29" s="442"/>
      <c r="O29" s="442"/>
      <c r="P29" s="442"/>
      <c r="Q29" s="442"/>
      <c r="R29" s="442"/>
      <c r="S29" s="442"/>
      <c r="T29" s="442"/>
      <c r="U29" s="442"/>
      <c r="V29" s="442"/>
      <c r="W29" s="442"/>
      <c r="X29" s="442"/>
      <c r="Y29" s="442"/>
      <c r="Z29" s="442"/>
      <c r="AA29" s="442"/>
      <c r="AB29" s="442"/>
      <c r="AC29" s="442"/>
      <c r="AD29" s="442"/>
      <c r="AE29" s="442"/>
      <c r="AF29" s="442"/>
      <c r="AG29" s="442"/>
    </row>
    <row r="30" spans="1:33" s="40" customFormat="1" x14ac:dyDescent="0.2">
      <c r="A30" s="206" t="s">
        <v>135</v>
      </c>
      <c r="B30" s="41">
        <f t="shared" ref="B30:M30" si="9">IF(ISBLANK(B144),0,$B$11)</f>
        <v>2</v>
      </c>
      <c r="C30" s="41">
        <f t="shared" si="9"/>
        <v>2</v>
      </c>
      <c r="D30" s="41">
        <f t="shared" si="9"/>
        <v>2</v>
      </c>
      <c r="E30" s="41">
        <f t="shared" si="9"/>
        <v>2</v>
      </c>
      <c r="F30" s="41">
        <f t="shared" si="9"/>
        <v>2</v>
      </c>
      <c r="G30" s="41">
        <f t="shared" si="9"/>
        <v>0</v>
      </c>
      <c r="H30" s="41">
        <f t="shared" si="9"/>
        <v>0</v>
      </c>
      <c r="I30" s="41">
        <f t="shared" si="9"/>
        <v>0</v>
      </c>
      <c r="J30" s="41">
        <f t="shared" si="9"/>
        <v>0</v>
      </c>
      <c r="K30" s="41">
        <f t="shared" si="9"/>
        <v>0</v>
      </c>
      <c r="L30" s="639">
        <f t="shared" si="9"/>
        <v>0</v>
      </c>
      <c r="M30" s="41">
        <f t="shared" si="9"/>
        <v>2</v>
      </c>
      <c r="N30" s="442"/>
      <c r="O30" s="442"/>
      <c r="P30" s="442"/>
      <c r="Q30" s="442"/>
      <c r="R30" s="442"/>
      <c r="S30" s="442"/>
      <c r="T30" s="442"/>
      <c r="U30" s="442"/>
      <c r="V30" s="442"/>
      <c r="W30" s="442"/>
      <c r="X30" s="442"/>
      <c r="Y30" s="442"/>
      <c r="Z30" s="442"/>
      <c r="AA30" s="442"/>
      <c r="AB30" s="442"/>
      <c r="AC30" s="442"/>
      <c r="AD30" s="442"/>
      <c r="AE30" s="442"/>
      <c r="AF30" s="442"/>
      <c r="AG30" s="442"/>
    </row>
    <row r="31" spans="1:33" s="40" customFormat="1" ht="12.75" x14ac:dyDescent="0.2">
      <c r="A31" s="155" t="s">
        <v>136</v>
      </c>
      <c r="B31" s="638"/>
      <c r="C31" s="31"/>
      <c r="D31" s="31"/>
      <c r="E31" s="31"/>
      <c r="F31" s="31"/>
      <c r="G31" s="31"/>
      <c r="H31" s="31"/>
      <c r="I31" s="31"/>
      <c r="J31" s="31"/>
      <c r="K31" s="31"/>
      <c r="L31" s="33"/>
      <c r="M31" s="34"/>
      <c r="N31" s="82"/>
      <c r="O31" s="82"/>
      <c r="P31" s="82"/>
      <c r="Q31" s="82"/>
      <c r="R31" s="82"/>
      <c r="S31" s="82"/>
      <c r="T31" s="82"/>
      <c r="U31" s="82"/>
      <c r="V31" s="82"/>
      <c r="W31" s="82"/>
      <c r="X31" s="82"/>
      <c r="Y31" s="82"/>
      <c r="Z31" s="82"/>
      <c r="AA31" s="82"/>
      <c r="AB31" s="82"/>
      <c r="AC31" s="82"/>
      <c r="AD31" s="82"/>
      <c r="AE31" s="82"/>
      <c r="AF31" s="82"/>
      <c r="AG31" s="82"/>
    </row>
    <row r="32" spans="1:33" s="40" customFormat="1" x14ac:dyDescent="0.2">
      <c r="A32" s="333" t="s">
        <v>137</v>
      </c>
      <c r="B32" s="456">
        <v>0.7</v>
      </c>
      <c r="C32" s="456">
        <v>0.8</v>
      </c>
      <c r="D32" s="456">
        <v>0.8</v>
      </c>
      <c r="E32" s="456">
        <v>0.9</v>
      </c>
      <c r="F32" s="456">
        <v>0.9</v>
      </c>
      <c r="G32" s="456">
        <v>1</v>
      </c>
      <c r="H32" s="456">
        <v>1</v>
      </c>
      <c r="I32" s="456">
        <v>1</v>
      </c>
      <c r="J32" s="456">
        <v>1</v>
      </c>
      <c r="K32" s="456">
        <v>1</v>
      </c>
      <c r="L32" s="660">
        <v>1</v>
      </c>
      <c r="M32" s="456">
        <v>0.7</v>
      </c>
      <c r="N32" s="360"/>
      <c r="O32" s="360"/>
      <c r="P32" s="360"/>
      <c r="Q32" s="360"/>
      <c r="R32" s="360"/>
      <c r="S32" s="360"/>
      <c r="T32" s="360"/>
      <c r="U32" s="360"/>
      <c r="V32" s="360"/>
      <c r="W32" s="360"/>
      <c r="X32" s="360"/>
      <c r="Y32" s="360"/>
      <c r="Z32" s="360"/>
      <c r="AA32" s="360"/>
      <c r="AB32" s="360"/>
      <c r="AC32" s="360"/>
      <c r="AD32" s="360"/>
      <c r="AE32" s="360"/>
      <c r="AF32" s="360"/>
      <c r="AG32" s="360"/>
    </row>
    <row r="33" spans="1:33" s="40" customFormat="1" x14ac:dyDescent="0.2">
      <c r="A33" s="333" t="s">
        <v>138</v>
      </c>
      <c r="B33" s="43">
        <f t="shared" ref="B33:M33" si="10">0.8*B32</f>
        <v>0.55999999999999994</v>
      </c>
      <c r="C33" s="43">
        <f t="shared" si="10"/>
        <v>0.64000000000000012</v>
      </c>
      <c r="D33" s="43">
        <f t="shared" si="10"/>
        <v>0.64000000000000012</v>
      </c>
      <c r="E33" s="43">
        <f t="shared" si="10"/>
        <v>0.72000000000000008</v>
      </c>
      <c r="F33" s="43">
        <f t="shared" si="10"/>
        <v>0.72000000000000008</v>
      </c>
      <c r="G33" s="43">
        <f t="shared" si="10"/>
        <v>0.8</v>
      </c>
      <c r="H33" s="43">
        <f t="shared" si="10"/>
        <v>0.8</v>
      </c>
      <c r="I33" s="43">
        <f t="shared" si="10"/>
        <v>0.8</v>
      </c>
      <c r="J33" s="43">
        <f t="shared" si="10"/>
        <v>0.8</v>
      </c>
      <c r="K33" s="43">
        <f t="shared" si="10"/>
        <v>0.8</v>
      </c>
      <c r="L33" s="640">
        <f t="shared" si="10"/>
        <v>0.8</v>
      </c>
      <c r="M33" s="43">
        <f t="shared" si="10"/>
        <v>0.55999999999999994</v>
      </c>
      <c r="N33" s="444"/>
      <c r="O33" s="444"/>
      <c r="P33" s="444"/>
      <c r="Q33" s="444"/>
      <c r="R33" s="444"/>
      <c r="S33" s="444"/>
      <c r="T33" s="444"/>
      <c r="U33" s="444"/>
      <c r="V33" s="444"/>
      <c r="W33" s="444"/>
      <c r="X33" s="444"/>
      <c r="Y33" s="444"/>
      <c r="Z33" s="444"/>
      <c r="AA33" s="444"/>
      <c r="AB33" s="444"/>
      <c r="AC33" s="444"/>
      <c r="AD33" s="444"/>
      <c r="AE33" s="444"/>
      <c r="AF33" s="444"/>
      <c r="AG33" s="444"/>
    </row>
    <row r="34" spans="1:33" s="40" customFormat="1" x14ac:dyDescent="0.2">
      <c r="A34" s="333" t="s">
        <v>139</v>
      </c>
      <c r="B34" s="43">
        <f>((B36*$B$176)/$B$2)</f>
        <v>0.32143762157146183</v>
      </c>
      <c r="C34" s="43">
        <f t="shared" ref="C34:M34" si="11">((C36*$B$176)/$B$2)</f>
        <v>0.36735728179595634</v>
      </c>
      <c r="D34" s="43">
        <f t="shared" si="11"/>
        <v>0.36735728179595634</v>
      </c>
      <c r="E34" s="43">
        <f t="shared" si="11"/>
        <v>0.41327694202045084</v>
      </c>
      <c r="F34" s="43">
        <f t="shared" si="11"/>
        <v>0.41327694202045084</v>
      </c>
      <c r="G34" s="43">
        <f t="shared" si="11"/>
        <v>0.45919660224494541</v>
      </c>
      <c r="H34" s="43">
        <f t="shared" si="11"/>
        <v>0.45919660224494541</v>
      </c>
      <c r="I34" s="43">
        <f t="shared" si="11"/>
        <v>0.45919660224494541</v>
      </c>
      <c r="J34" s="43">
        <f t="shared" si="11"/>
        <v>0.45919660224494541</v>
      </c>
      <c r="K34" s="43">
        <f t="shared" si="11"/>
        <v>0.45919660224494541</v>
      </c>
      <c r="L34" s="43">
        <f t="shared" si="11"/>
        <v>0.45919660224494541</v>
      </c>
      <c r="M34" s="43">
        <f t="shared" si="11"/>
        <v>0.32143762157146183</v>
      </c>
      <c r="N34" s="444"/>
      <c r="O34" s="444"/>
      <c r="P34" s="444"/>
      <c r="Q34" s="444"/>
      <c r="R34" s="444"/>
      <c r="S34" s="444"/>
      <c r="T34" s="444"/>
      <c r="U34" s="444"/>
      <c r="V34" s="444"/>
      <c r="W34" s="444"/>
      <c r="X34" s="444"/>
      <c r="Y34" s="444"/>
      <c r="Z34" s="444"/>
      <c r="AA34" s="444"/>
      <c r="AB34" s="444"/>
      <c r="AC34" s="444"/>
      <c r="AD34" s="444"/>
      <c r="AE34" s="444"/>
      <c r="AF34" s="444"/>
      <c r="AG34" s="444"/>
    </row>
    <row r="35" spans="1:33" s="40" customFormat="1" x14ac:dyDescent="0.2">
      <c r="A35" s="205" t="s">
        <v>140</v>
      </c>
      <c r="B35" s="45">
        <f t="shared" ref="B35:M35" si="12">ROUND($B$2*B$32,2)</f>
        <v>0.7</v>
      </c>
      <c r="C35" s="45">
        <f t="shared" si="12"/>
        <v>0.8</v>
      </c>
      <c r="D35" s="45">
        <f t="shared" si="12"/>
        <v>0.8</v>
      </c>
      <c r="E35" s="45">
        <f t="shared" si="12"/>
        <v>0.9</v>
      </c>
      <c r="F35" s="45">
        <f t="shared" si="12"/>
        <v>0.9</v>
      </c>
      <c r="G35" s="45">
        <f t="shared" si="12"/>
        <v>1</v>
      </c>
      <c r="H35" s="45">
        <f t="shared" si="12"/>
        <v>1</v>
      </c>
      <c r="I35" s="45">
        <f t="shared" si="12"/>
        <v>1</v>
      </c>
      <c r="J35" s="45">
        <f t="shared" si="12"/>
        <v>1</v>
      </c>
      <c r="K35" s="45">
        <f t="shared" si="12"/>
        <v>1</v>
      </c>
      <c r="L35" s="166">
        <f t="shared" si="12"/>
        <v>1</v>
      </c>
      <c r="M35" s="45">
        <f t="shared" si="12"/>
        <v>0.7</v>
      </c>
      <c r="N35" s="310"/>
      <c r="O35" s="310"/>
      <c r="P35" s="310"/>
      <c r="Q35" s="310"/>
      <c r="R35" s="310"/>
      <c r="S35" s="310"/>
      <c r="T35" s="310"/>
      <c r="U35" s="310"/>
      <c r="V35" s="310"/>
      <c r="W35" s="310"/>
      <c r="X35" s="310"/>
      <c r="Y35" s="310"/>
      <c r="Z35" s="310"/>
      <c r="AA35" s="310"/>
      <c r="AB35" s="310"/>
      <c r="AC35" s="310"/>
      <c r="AD35" s="310"/>
      <c r="AE35" s="310"/>
      <c r="AF35" s="310"/>
      <c r="AG35" s="310"/>
    </row>
    <row r="36" spans="1:33" x14ac:dyDescent="0.2">
      <c r="A36" s="205" t="s">
        <v>141</v>
      </c>
      <c r="B36" s="45">
        <f t="shared" ref="B36:M36" si="13">ROUND( $B$2*B$33,2)</f>
        <v>0.56000000000000005</v>
      </c>
      <c r="C36" s="45">
        <f t="shared" si="13"/>
        <v>0.64</v>
      </c>
      <c r="D36" s="45">
        <f t="shared" si="13"/>
        <v>0.64</v>
      </c>
      <c r="E36" s="45">
        <f t="shared" si="13"/>
        <v>0.72</v>
      </c>
      <c r="F36" s="45">
        <f t="shared" si="13"/>
        <v>0.72</v>
      </c>
      <c r="G36" s="45">
        <f t="shared" si="13"/>
        <v>0.8</v>
      </c>
      <c r="H36" s="45">
        <f t="shared" si="13"/>
        <v>0.8</v>
      </c>
      <c r="I36" s="45">
        <f t="shared" si="13"/>
        <v>0.8</v>
      </c>
      <c r="J36" s="45">
        <f t="shared" si="13"/>
        <v>0.8</v>
      </c>
      <c r="K36" s="45">
        <f t="shared" si="13"/>
        <v>0.8</v>
      </c>
      <c r="L36" s="166">
        <f t="shared" si="13"/>
        <v>0.8</v>
      </c>
      <c r="M36" s="165">
        <f t="shared" si="13"/>
        <v>0.56000000000000005</v>
      </c>
      <c r="N36" s="310"/>
      <c r="O36" s="310"/>
      <c r="P36" s="310"/>
      <c r="Q36" s="310"/>
      <c r="R36" s="310"/>
      <c r="S36" s="310"/>
      <c r="T36" s="310"/>
      <c r="U36" s="310"/>
      <c r="V36" s="310"/>
      <c r="W36" s="310"/>
      <c r="X36" s="310"/>
      <c r="Y36" s="310"/>
      <c r="Z36" s="310"/>
      <c r="AA36" s="310"/>
      <c r="AB36" s="310"/>
      <c r="AC36" s="310"/>
      <c r="AD36" s="310"/>
      <c r="AE36" s="310"/>
      <c r="AF36" s="310"/>
      <c r="AG36" s="310"/>
    </row>
    <row r="37" spans="1:33" x14ac:dyDescent="0.2">
      <c r="A37" s="620" t="s">
        <v>142</v>
      </c>
      <c r="B37" s="671">
        <f>B34*$B$2</f>
        <v>0.32143762157146183</v>
      </c>
      <c r="C37" s="671">
        <f t="shared" ref="C37:M37" si="14">C34*$B$2</f>
        <v>0.36735728179595634</v>
      </c>
      <c r="D37" s="671">
        <f t="shared" si="14"/>
        <v>0.36735728179595634</v>
      </c>
      <c r="E37" s="671">
        <f t="shared" si="14"/>
        <v>0.41327694202045084</v>
      </c>
      <c r="F37" s="671">
        <f t="shared" si="14"/>
        <v>0.41327694202045084</v>
      </c>
      <c r="G37" s="671">
        <f t="shared" si="14"/>
        <v>0.45919660224494541</v>
      </c>
      <c r="H37" s="671">
        <f t="shared" si="14"/>
        <v>0.45919660224494541</v>
      </c>
      <c r="I37" s="671">
        <f t="shared" si="14"/>
        <v>0.45919660224494541</v>
      </c>
      <c r="J37" s="671">
        <f t="shared" si="14"/>
        <v>0.45919660224494541</v>
      </c>
      <c r="K37" s="671">
        <f t="shared" si="14"/>
        <v>0.45919660224494541</v>
      </c>
      <c r="L37" s="671">
        <f t="shared" si="14"/>
        <v>0.45919660224494541</v>
      </c>
      <c r="M37" s="671">
        <f t="shared" si="14"/>
        <v>0.32143762157146183</v>
      </c>
      <c r="N37" s="310"/>
      <c r="O37" s="310"/>
      <c r="P37" s="310"/>
      <c r="Q37" s="310"/>
      <c r="R37" s="310"/>
      <c r="S37" s="310"/>
      <c r="T37" s="310"/>
      <c r="U37" s="310"/>
      <c r="V37" s="310"/>
      <c r="W37" s="310"/>
      <c r="X37" s="310"/>
      <c r="Y37" s="310"/>
      <c r="Z37" s="310"/>
      <c r="AA37" s="310"/>
      <c r="AB37" s="310"/>
      <c r="AC37" s="310"/>
      <c r="AD37" s="310"/>
      <c r="AE37" s="310"/>
      <c r="AF37" s="310"/>
      <c r="AG37" s="310"/>
    </row>
    <row r="38" spans="1:33" ht="12.75" x14ac:dyDescent="0.2">
      <c r="A38" s="155" t="s">
        <v>143</v>
      </c>
      <c r="B38" s="638"/>
      <c r="C38" s="31"/>
      <c r="D38" s="31"/>
      <c r="E38" s="31"/>
      <c r="F38" s="31"/>
      <c r="G38" s="31"/>
      <c r="H38" s="31"/>
      <c r="I38" s="31"/>
      <c r="J38" s="31"/>
      <c r="K38" s="31"/>
      <c r="L38" s="33"/>
      <c r="M38" s="637"/>
      <c r="N38" s="403"/>
      <c r="O38" s="403"/>
      <c r="P38" s="403"/>
      <c r="Q38" s="403"/>
      <c r="R38" s="403"/>
      <c r="S38" s="403"/>
      <c r="T38" s="403"/>
      <c r="U38" s="403"/>
      <c r="V38" s="403"/>
      <c r="W38" s="403"/>
      <c r="X38" s="403"/>
      <c r="Y38" s="403"/>
      <c r="Z38" s="403"/>
      <c r="AA38" s="403"/>
      <c r="AB38" s="403"/>
      <c r="AC38" s="403"/>
      <c r="AD38" s="403"/>
      <c r="AE38" s="403"/>
      <c r="AF38" s="403"/>
      <c r="AG38" s="403"/>
    </row>
    <row r="39" spans="1:33" x14ac:dyDescent="0.2">
      <c r="A39" s="292" t="s">
        <v>144</v>
      </c>
      <c r="B39" s="633">
        <f>B$36*$B177</f>
        <v>0.20438246158787954</v>
      </c>
      <c r="C39" s="633">
        <f t="shared" ref="C39:M48" si="15">C$36*$B177</f>
        <v>0.23357995610043375</v>
      </c>
      <c r="D39" s="633">
        <f t="shared" si="15"/>
        <v>0.23357995610043375</v>
      </c>
      <c r="E39" s="633">
        <f t="shared" si="15"/>
        <v>0.26277745061298796</v>
      </c>
      <c r="F39" s="633">
        <f t="shared" si="15"/>
        <v>0.26277745061298796</v>
      </c>
      <c r="G39" s="633">
        <f t="shared" si="15"/>
        <v>0.29197494512554217</v>
      </c>
      <c r="H39" s="633">
        <f t="shared" si="15"/>
        <v>0.29197494512554217</v>
      </c>
      <c r="I39" s="633">
        <f t="shared" si="15"/>
        <v>0.29197494512554217</v>
      </c>
      <c r="J39" s="633">
        <f t="shared" si="15"/>
        <v>0.29197494512554217</v>
      </c>
      <c r="K39" s="633">
        <f t="shared" si="15"/>
        <v>0.29197494512554217</v>
      </c>
      <c r="L39" s="633">
        <f t="shared" si="15"/>
        <v>0.29197494512554217</v>
      </c>
      <c r="M39" s="633">
        <f t="shared" si="15"/>
        <v>0.20438246158787954</v>
      </c>
      <c r="N39" s="366"/>
      <c r="O39" s="366"/>
      <c r="P39" s="366"/>
      <c r="Q39" s="366"/>
      <c r="R39" s="366"/>
      <c r="S39" s="366"/>
      <c r="T39" s="366"/>
      <c r="U39" s="366"/>
      <c r="V39" s="366"/>
      <c r="W39" s="366"/>
      <c r="X39" s="366"/>
      <c r="Y39" s="366"/>
      <c r="Z39" s="366"/>
      <c r="AA39" s="366"/>
      <c r="AB39" s="366"/>
      <c r="AC39" s="366"/>
      <c r="AD39" s="366"/>
      <c r="AE39" s="366"/>
      <c r="AF39" s="366"/>
      <c r="AG39" s="366"/>
    </row>
    <row r="40" spans="1:33" x14ac:dyDescent="0.2">
      <c r="A40" s="292" t="s">
        <v>145</v>
      </c>
      <c r="B40" s="633">
        <f t="shared" ref="B40:M48" si="16">B$36*$B178</f>
        <v>0.16839498902510849</v>
      </c>
      <c r="C40" s="633">
        <f t="shared" si="16"/>
        <v>0.19245141602869542</v>
      </c>
      <c r="D40" s="633">
        <f t="shared" si="16"/>
        <v>0.19245141602869542</v>
      </c>
      <c r="E40" s="633">
        <f t="shared" si="16"/>
        <v>0.21650784303228232</v>
      </c>
      <c r="F40" s="633">
        <f t="shared" si="16"/>
        <v>0.21650784303228232</v>
      </c>
      <c r="G40" s="633">
        <f t="shared" si="16"/>
        <v>0.24056427003586928</v>
      </c>
      <c r="H40" s="633">
        <f t="shared" si="16"/>
        <v>0.24056427003586928</v>
      </c>
      <c r="I40" s="633">
        <f t="shared" si="16"/>
        <v>0.24056427003586928</v>
      </c>
      <c r="J40" s="633">
        <f t="shared" si="16"/>
        <v>0.24056427003586928</v>
      </c>
      <c r="K40" s="633">
        <f t="shared" si="16"/>
        <v>0.24056427003586928</v>
      </c>
      <c r="L40" s="633">
        <f t="shared" si="16"/>
        <v>0.24056427003586928</v>
      </c>
      <c r="M40" s="633">
        <f t="shared" si="16"/>
        <v>0.16839498902510849</v>
      </c>
      <c r="N40" s="455"/>
      <c r="O40" s="455"/>
      <c r="P40" s="455"/>
      <c r="Q40" s="455"/>
      <c r="R40" s="455"/>
      <c r="S40" s="455"/>
      <c r="T40" s="455"/>
      <c r="U40" s="455"/>
      <c r="V40" s="455"/>
      <c r="W40" s="455"/>
      <c r="X40" s="455"/>
      <c r="Y40" s="455"/>
      <c r="Z40" s="455"/>
      <c r="AA40" s="455"/>
      <c r="AB40" s="455"/>
      <c r="AC40" s="455"/>
      <c r="AD40" s="455"/>
      <c r="AE40" s="455"/>
      <c r="AF40" s="455"/>
      <c r="AG40" s="455"/>
    </row>
    <row r="41" spans="1:33" x14ac:dyDescent="0.2">
      <c r="A41" s="292" t="s">
        <v>146</v>
      </c>
      <c r="B41" s="633">
        <f t="shared" si="16"/>
        <v>0.19993040312650581</v>
      </c>
      <c r="C41" s="633">
        <f t="shared" si="15"/>
        <v>0.22849188928743519</v>
      </c>
      <c r="D41" s="633">
        <f t="shared" si="15"/>
        <v>0.22849188928743519</v>
      </c>
      <c r="E41" s="633">
        <f t="shared" si="15"/>
        <v>0.2570533754483646</v>
      </c>
      <c r="F41" s="633">
        <f t="shared" si="15"/>
        <v>0.2570533754483646</v>
      </c>
      <c r="G41" s="633">
        <f t="shared" si="15"/>
        <v>0.285614861609294</v>
      </c>
      <c r="H41" s="633">
        <f t="shared" si="15"/>
        <v>0.285614861609294</v>
      </c>
      <c r="I41" s="633">
        <f t="shared" si="15"/>
        <v>0.285614861609294</v>
      </c>
      <c r="J41" s="633">
        <f t="shared" si="15"/>
        <v>0.285614861609294</v>
      </c>
      <c r="K41" s="633">
        <f t="shared" si="15"/>
        <v>0.285614861609294</v>
      </c>
      <c r="L41" s="633">
        <f t="shared" si="15"/>
        <v>0.285614861609294</v>
      </c>
      <c r="M41" s="633">
        <f t="shared" si="15"/>
        <v>0.19993040312650581</v>
      </c>
      <c r="N41" s="366"/>
      <c r="O41" s="366"/>
      <c r="P41" s="366"/>
      <c r="Q41" s="366"/>
      <c r="R41" s="366"/>
      <c r="S41" s="366"/>
      <c r="T41" s="366"/>
      <c r="U41" s="366"/>
      <c r="V41" s="366"/>
      <c r="W41" s="366"/>
      <c r="X41" s="366"/>
      <c r="Y41" s="366"/>
      <c r="Z41" s="366"/>
      <c r="AA41" s="366"/>
      <c r="AB41" s="366"/>
      <c r="AC41" s="366"/>
      <c r="AD41" s="366"/>
      <c r="AE41" s="366"/>
      <c r="AF41" s="366"/>
      <c r="AG41" s="366"/>
    </row>
    <row r="42" spans="1:33" x14ac:dyDescent="0.2">
      <c r="A42" s="292" t="s">
        <v>147</v>
      </c>
      <c r="B42" s="633">
        <f t="shared" si="16"/>
        <v>0.19993040312650581</v>
      </c>
      <c r="C42" s="633">
        <f t="shared" si="15"/>
        <v>0.22849188928743519</v>
      </c>
      <c r="D42" s="633">
        <f t="shared" si="15"/>
        <v>0.22849188928743519</v>
      </c>
      <c r="E42" s="633">
        <f t="shared" si="15"/>
        <v>0.2570533754483646</v>
      </c>
      <c r="F42" s="633">
        <f t="shared" si="15"/>
        <v>0.2570533754483646</v>
      </c>
      <c r="G42" s="633">
        <f t="shared" si="15"/>
        <v>0.285614861609294</v>
      </c>
      <c r="H42" s="633">
        <f t="shared" si="15"/>
        <v>0.285614861609294</v>
      </c>
      <c r="I42" s="633">
        <f t="shared" si="15"/>
        <v>0.285614861609294</v>
      </c>
      <c r="J42" s="633">
        <f t="shared" si="15"/>
        <v>0.285614861609294</v>
      </c>
      <c r="K42" s="633">
        <f t="shared" si="15"/>
        <v>0.285614861609294</v>
      </c>
      <c r="L42" s="633">
        <f t="shared" si="15"/>
        <v>0.285614861609294</v>
      </c>
      <c r="M42" s="633">
        <f t="shared" si="15"/>
        <v>0.19993040312650581</v>
      </c>
      <c r="N42" s="366"/>
      <c r="O42" s="366"/>
      <c r="P42" s="366"/>
      <c r="Q42" s="366"/>
      <c r="R42" s="366"/>
      <c r="S42" s="366"/>
      <c r="T42" s="366"/>
      <c r="U42" s="366"/>
      <c r="V42" s="366"/>
      <c r="W42" s="366"/>
      <c r="X42" s="366"/>
      <c r="Y42" s="366"/>
      <c r="Z42" s="366"/>
      <c r="AA42" s="366"/>
      <c r="AB42" s="366"/>
      <c r="AC42" s="366"/>
      <c r="AD42" s="366"/>
      <c r="AE42" s="366"/>
      <c r="AF42" s="366"/>
      <c r="AG42" s="366"/>
    </row>
    <row r="43" spans="1:33" x14ac:dyDescent="0.2">
      <c r="A43" s="292" t="s">
        <v>148</v>
      </c>
      <c r="B43" s="633">
        <f t="shared" si="16"/>
        <v>0.12989667541088931</v>
      </c>
      <c r="C43" s="633">
        <f t="shared" si="15"/>
        <v>0.14845334332673063</v>
      </c>
      <c r="D43" s="633">
        <f t="shared" si="15"/>
        <v>0.14845334332673063</v>
      </c>
      <c r="E43" s="633">
        <f t="shared" si="15"/>
        <v>0.16701001124257195</v>
      </c>
      <c r="F43" s="633">
        <f t="shared" si="15"/>
        <v>0.16701001124257195</v>
      </c>
      <c r="G43" s="633">
        <f t="shared" si="15"/>
        <v>0.18556667915841329</v>
      </c>
      <c r="H43" s="633">
        <f t="shared" si="15"/>
        <v>0.18556667915841329</v>
      </c>
      <c r="I43" s="633">
        <f t="shared" si="15"/>
        <v>0.18556667915841329</v>
      </c>
      <c r="J43" s="633">
        <f t="shared" si="15"/>
        <v>0.18556667915841329</v>
      </c>
      <c r="K43" s="633">
        <f t="shared" si="15"/>
        <v>0.18556667915841329</v>
      </c>
      <c r="L43" s="633">
        <f t="shared" si="15"/>
        <v>0.18556667915841329</v>
      </c>
      <c r="M43" s="633">
        <f t="shared" si="15"/>
        <v>0.12989667541088931</v>
      </c>
      <c r="N43" s="366"/>
      <c r="O43" s="366"/>
      <c r="P43" s="366"/>
      <c r="Q43" s="366"/>
      <c r="R43" s="366"/>
      <c r="S43" s="366"/>
      <c r="T43" s="366"/>
      <c r="U43" s="366"/>
      <c r="V43" s="366"/>
      <c r="W43" s="366"/>
      <c r="X43" s="366"/>
      <c r="Y43" s="366"/>
      <c r="Z43" s="366"/>
      <c r="AA43" s="366"/>
      <c r="AB43" s="366"/>
      <c r="AC43" s="366"/>
      <c r="AD43" s="366"/>
      <c r="AE43" s="366"/>
      <c r="AF43" s="366"/>
      <c r="AG43" s="366"/>
    </row>
    <row r="44" spans="1:33" x14ac:dyDescent="0.2">
      <c r="A44" s="292" t="s">
        <v>149</v>
      </c>
      <c r="B44" s="633">
        <f t="shared" si="16"/>
        <v>0.12989667541088931</v>
      </c>
      <c r="C44" s="633">
        <f t="shared" si="15"/>
        <v>0.14845334332673063</v>
      </c>
      <c r="D44" s="633">
        <f t="shared" si="15"/>
        <v>0.14845334332673063</v>
      </c>
      <c r="E44" s="633">
        <f t="shared" si="15"/>
        <v>0.16701001124257195</v>
      </c>
      <c r="F44" s="633">
        <f t="shared" si="15"/>
        <v>0.16701001124257195</v>
      </c>
      <c r="G44" s="633">
        <f t="shared" si="15"/>
        <v>0.18556667915841329</v>
      </c>
      <c r="H44" s="633">
        <f t="shared" si="15"/>
        <v>0.18556667915841329</v>
      </c>
      <c r="I44" s="633">
        <f t="shared" si="15"/>
        <v>0.18556667915841329</v>
      </c>
      <c r="J44" s="633">
        <f t="shared" si="15"/>
        <v>0.18556667915841329</v>
      </c>
      <c r="K44" s="633">
        <f t="shared" si="15"/>
        <v>0.18556667915841329</v>
      </c>
      <c r="L44" s="633">
        <f t="shared" si="15"/>
        <v>0.18556667915841329</v>
      </c>
      <c r="M44" s="633">
        <f t="shared" si="15"/>
        <v>0.12989667541088931</v>
      </c>
      <c r="N44" s="366"/>
      <c r="O44" s="366"/>
      <c r="P44" s="366"/>
      <c r="Q44" s="366"/>
      <c r="R44" s="366"/>
      <c r="S44" s="366"/>
      <c r="T44" s="366"/>
      <c r="U44" s="366"/>
      <c r="V44" s="366"/>
      <c r="W44" s="366"/>
      <c r="X44" s="366"/>
      <c r="Y44" s="366"/>
      <c r="Z44" s="366"/>
      <c r="AA44" s="366"/>
      <c r="AB44" s="366"/>
      <c r="AC44" s="366"/>
      <c r="AD44" s="366"/>
      <c r="AE44" s="366"/>
      <c r="AF44" s="366"/>
      <c r="AG44" s="366"/>
    </row>
    <row r="45" spans="1:33" x14ac:dyDescent="0.2">
      <c r="A45" s="292" t="s">
        <v>150</v>
      </c>
      <c r="B45" s="633">
        <f t="shared" si="16"/>
        <v>0</v>
      </c>
      <c r="C45" s="633">
        <f t="shared" si="15"/>
        <v>0</v>
      </c>
      <c r="D45" s="633">
        <f t="shared" si="15"/>
        <v>0</v>
      </c>
      <c r="E45" s="633">
        <f t="shared" si="15"/>
        <v>0</v>
      </c>
      <c r="F45" s="633">
        <f t="shared" si="15"/>
        <v>0</v>
      </c>
      <c r="G45" s="633">
        <f t="shared" si="15"/>
        <v>0</v>
      </c>
      <c r="H45" s="633">
        <f t="shared" si="15"/>
        <v>0</v>
      </c>
      <c r="I45" s="633">
        <f t="shared" si="15"/>
        <v>0</v>
      </c>
      <c r="J45" s="633">
        <f t="shared" si="15"/>
        <v>0</v>
      </c>
      <c r="K45" s="633">
        <f t="shared" si="15"/>
        <v>0</v>
      </c>
      <c r="L45" s="633">
        <f t="shared" si="15"/>
        <v>0</v>
      </c>
      <c r="M45" s="633">
        <f t="shared" si="15"/>
        <v>0</v>
      </c>
      <c r="N45" s="366"/>
      <c r="O45" s="366"/>
      <c r="P45" s="366"/>
      <c r="Q45" s="366"/>
      <c r="R45" s="366"/>
      <c r="S45" s="366"/>
      <c r="T45" s="366"/>
      <c r="U45" s="366"/>
      <c r="V45" s="366"/>
      <c r="W45" s="366"/>
      <c r="X45" s="366"/>
      <c r="Y45" s="366"/>
      <c r="Z45" s="366"/>
      <c r="AA45" s="366"/>
      <c r="AB45" s="366"/>
      <c r="AC45" s="366"/>
      <c r="AD45" s="366"/>
      <c r="AE45" s="366"/>
      <c r="AF45" s="366"/>
      <c r="AG45" s="366"/>
    </row>
    <row r="46" spans="1:33" x14ac:dyDescent="0.2">
      <c r="A46" s="292" t="s">
        <v>151</v>
      </c>
      <c r="B46" s="633">
        <f t="shared" si="16"/>
        <v>0</v>
      </c>
      <c r="C46" s="633">
        <f t="shared" si="15"/>
        <v>0</v>
      </c>
      <c r="D46" s="633">
        <f t="shared" si="15"/>
        <v>0</v>
      </c>
      <c r="E46" s="633">
        <f t="shared" si="15"/>
        <v>0</v>
      </c>
      <c r="F46" s="633">
        <f t="shared" si="15"/>
        <v>0</v>
      </c>
      <c r="G46" s="633">
        <f t="shared" si="15"/>
        <v>0</v>
      </c>
      <c r="H46" s="633">
        <f t="shared" si="15"/>
        <v>0</v>
      </c>
      <c r="I46" s="633">
        <f t="shared" si="15"/>
        <v>0</v>
      </c>
      <c r="J46" s="633">
        <f t="shared" si="15"/>
        <v>0</v>
      </c>
      <c r="K46" s="633">
        <f t="shared" si="15"/>
        <v>0</v>
      </c>
      <c r="L46" s="633">
        <f t="shared" si="15"/>
        <v>0</v>
      </c>
      <c r="M46" s="633">
        <f t="shared" si="15"/>
        <v>0</v>
      </c>
      <c r="N46" s="366"/>
      <c r="O46" s="366"/>
      <c r="P46" s="366"/>
      <c r="Q46" s="366"/>
      <c r="R46" s="366"/>
      <c r="S46" s="366"/>
      <c r="T46" s="366"/>
      <c r="U46" s="366"/>
      <c r="V46" s="366"/>
      <c r="W46" s="366"/>
      <c r="X46" s="366"/>
      <c r="Y46" s="366"/>
      <c r="Z46" s="366"/>
      <c r="AA46" s="366"/>
      <c r="AB46" s="366"/>
      <c r="AC46" s="366"/>
      <c r="AD46" s="366"/>
      <c r="AE46" s="366"/>
      <c r="AF46" s="366"/>
      <c r="AG46" s="366"/>
    </row>
    <row r="47" spans="1:33" x14ac:dyDescent="0.2">
      <c r="A47" s="292" t="s">
        <v>152</v>
      </c>
      <c r="B47" s="633">
        <f>IF(B$13="Deploy",B$36,B$36*$B185)</f>
        <v>0.12484876064029131</v>
      </c>
      <c r="C47" s="633">
        <f t="shared" ref="C47:M47" si="17">IF(C$13="Deploy",C$36,C$36*$B185)</f>
        <v>0.14268429787461862</v>
      </c>
      <c r="D47" s="633">
        <f t="shared" si="17"/>
        <v>0.14268429787461862</v>
      </c>
      <c r="E47" s="633">
        <f t="shared" si="17"/>
        <v>0.16051983510894594</v>
      </c>
      <c r="F47" s="633">
        <f t="shared" si="17"/>
        <v>0.16051983510894594</v>
      </c>
      <c r="G47" s="633">
        <f t="shared" si="17"/>
        <v>0.8</v>
      </c>
      <c r="H47" s="633">
        <f t="shared" si="17"/>
        <v>0.8</v>
      </c>
      <c r="I47" s="633">
        <f t="shared" si="17"/>
        <v>0.8</v>
      </c>
      <c r="J47" s="633">
        <f t="shared" si="17"/>
        <v>0.8</v>
      </c>
      <c r="K47" s="633">
        <f t="shared" si="17"/>
        <v>0.8</v>
      </c>
      <c r="L47" s="633">
        <f t="shared" si="17"/>
        <v>0.8</v>
      </c>
      <c r="M47" s="633">
        <f t="shared" si="17"/>
        <v>0.12484876064029131</v>
      </c>
      <c r="N47" s="366"/>
      <c r="O47" s="366"/>
      <c r="P47" s="366"/>
      <c r="Q47" s="366"/>
      <c r="R47" s="366"/>
      <c r="S47" s="366"/>
      <c r="T47" s="366"/>
      <c r="U47" s="366"/>
      <c r="V47" s="366"/>
      <c r="W47" s="366"/>
      <c r="X47" s="366"/>
      <c r="Y47" s="366"/>
      <c r="Z47" s="366"/>
      <c r="AA47" s="366"/>
      <c r="AB47" s="366"/>
      <c r="AC47" s="366"/>
      <c r="AD47" s="366"/>
      <c r="AE47" s="366"/>
      <c r="AF47" s="366"/>
      <c r="AG47" s="366"/>
    </row>
    <row r="48" spans="1:33" ht="12.75" x14ac:dyDescent="0.2">
      <c r="A48" s="369" t="s">
        <v>153</v>
      </c>
      <c r="B48" s="633">
        <f t="shared" si="16"/>
        <v>0.56000000000000005</v>
      </c>
      <c r="C48" s="633">
        <f t="shared" si="15"/>
        <v>0.64</v>
      </c>
      <c r="D48" s="633">
        <f t="shared" si="15"/>
        <v>0.64</v>
      </c>
      <c r="E48" s="633">
        <f t="shared" si="15"/>
        <v>0.72</v>
      </c>
      <c r="F48" s="633">
        <f t="shared" si="15"/>
        <v>0.72</v>
      </c>
      <c r="G48" s="633">
        <f t="shared" si="15"/>
        <v>0.8</v>
      </c>
      <c r="H48" s="633">
        <f t="shared" si="15"/>
        <v>0.8</v>
      </c>
      <c r="I48" s="633">
        <f t="shared" si="15"/>
        <v>0.8</v>
      </c>
      <c r="J48" s="633">
        <f t="shared" si="15"/>
        <v>0.8</v>
      </c>
      <c r="K48" s="633">
        <f t="shared" si="15"/>
        <v>0.8</v>
      </c>
      <c r="L48" s="633">
        <f t="shared" si="15"/>
        <v>0.8</v>
      </c>
      <c r="M48" s="633">
        <f t="shared" si="15"/>
        <v>0.56000000000000005</v>
      </c>
      <c r="N48" s="366"/>
      <c r="O48" s="366"/>
      <c r="P48" s="366"/>
      <c r="Q48" s="366"/>
      <c r="R48" s="366"/>
      <c r="S48" s="366"/>
      <c r="T48" s="366"/>
      <c r="U48" s="366"/>
      <c r="V48" s="366"/>
      <c r="W48" s="366"/>
      <c r="X48" s="366"/>
      <c r="Y48" s="366"/>
      <c r="Z48" s="366"/>
      <c r="AA48" s="366"/>
      <c r="AB48" s="366"/>
      <c r="AC48" s="366"/>
      <c r="AD48" s="366"/>
      <c r="AE48" s="366"/>
      <c r="AF48" s="366"/>
      <c r="AG48" s="366"/>
    </row>
    <row r="49" spans="1:34" ht="12.75" x14ac:dyDescent="0.2">
      <c r="A49" s="153" t="s">
        <v>154</v>
      </c>
      <c r="B49" s="638"/>
      <c r="C49" s="31"/>
      <c r="D49" s="31"/>
      <c r="E49" s="31"/>
      <c r="F49" s="31"/>
      <c r="G49" s="31"/>
      <c r="H49" s="31"/>
      <c r="I49" s="31"/>
      <c r="J49" s="31"/>
      <c r="K49" s="31"/>
      <c r="L49" s="33"/>
      <c r="M49" s="83"/>
      <c r="N49" s="82"/>
      <c r="O49" s="82"/>
      <c r="P49" s="82"/>
      <c r="Q49" s="82"/>
      <c r="R49" s="82"/>
      <c r="S49" s="82"/>
      <c r="T49" s="82"/>
      <c r="U49" s="82"/>
      <c r="V49" s="82"/>
      <c r="W49" s="82"/>
      <c r="X49" s="82"/>
      <c r="Y49" s="82"/>
      <c r="Z49" s="82"/>
      <c r="AA49" s="82"/>
      <c r="AB49" s="82"/>
      <c r="AC49" s="82"/>
      <c r="AD49" s="82"/>
      <c r="AE49" s="82"/>
      <c r="AF49" s="82"/>
      <c r="AG49" s="82"/>
    </row>
    <row r="50" spans="1:34" x14ac:dyDescent="0.2">
      <c r="A50" s="293" t="s">
        <v>155</v>
      </c>
      <c r="B50" s="46">
        <f>2*B$32</f>
        <v>1.4</v>
      </c>
      <c r="C50" s="46">
        <f>2*C$32</f>
        <v>1.6</v>
      </c>
      <c r="D50" s="46">
        <f>2*D$32</f>
        <v>1.6</v>
      </c>
      <c r="E50" s="46">
        <f>2*E$32</f>
        <v>1.8</v>
      </c>
      <c r="F50" s="46">
        <f>2*F$32</f>
        <v>1.8</v>
      </c>
      <c r="G50" s="46">
        <v>0</v>
      </c>
      <c r="H50" s="46">
        <v>0</v>
      </c>
      <c r="I50" s="46">
        <v>0</v>
      </c>
      <c r="J50" s="46">
        <v>0</v>
      </c>
      <c r="K50" s="46">
        <v>0</v>
      </c>
      <c r="L50" s="661">
        <v>0</v>
      </c>
      <c r="M50" s="46">
        <v>0</v>
      </c>
      <c r="N50" s="445"/>
      <c r="O50" s="445"/>
      <c r="P50" s="445"/>
      <c r="Q50" s="445"/>
      <c r="R50" s="445"/>
      <c r="S50" s="445"/>
      <c r="T50" s="445"/>
      <c r="U50" s="445"/>
      <c r="V50" s="445"/>
      <c r="W50" s="445"/>
      <c r="X50" s="445"/>
      <c r="Y50" s="445"/>
      <c r="Z50" s="445"/>
      <c r="AA50" s="445"/>
      <c r="AB50" s="445"/>
      <c r="AC50" s="445"/>
      <c r="AD50" s="445"/>
      <c r="AE50" s="445"/>
      <c r="AF50" s="445"/>
      <c r="AG50" s="445"/>
    </row>
    <row r="51" spans="1:34" x14ac:dyDescent="0.2">
      <c r="A51" s="294" t="s">
        <v>156</v>
      </c>
      <c r="B51" s="52">
        <f t="shared" ref="B51:M51" si="18">B50*0.8</f>
        <v>1.1199999999999999</v>
      </c>
      <c r="C51" s="52">
        <f t="shared" si="18"/>
        <v>1.2800000000000002</v>
      </c>
      <c r="D51" s="52">
        <f t="shared" si="18"/>
        <v>1.2800000000000002</v>
      </c>
      <c r="E51" s="52">
        <f t="shared" si="18"/>
        <v>1.4400000000000002</v>
      </c>
      <c r="F51" s="52">
        <f t="shared" si="18"/>
        <v>1.4400000000000002</v>
      </c>
      <c r="G51" s="52">
        <f t="shared" si="18"/>
        <v>0</v>
      </c>
      <c r="H51" s="52">
        <f t="shared" si="18"/>
        <v>0</v>
      </c>
      <c r="I51" s="52">
        <f t="shared" si="18"/>
        <v>0</v>
      </c>
      <c r="J51" s="52">
        <f t="shared" si="18"/>
        <v>0</v>
      </c>
      <c r="K51" s="52">
        <f t="shared" si="18"/>
        <v>0</v>
      </c>
      <c r="L51" s="646">
        <f t="shared" si="18"/>
        <v>0</v>
      </c>
      <c r="M51" s="52">
        <f t="shared" si="18"/>
        <v>0</v>
      </c>
      <c r="N51" s="445"/>
      <c r="O51" s="445"/>
      <c r="P51" s="445"/>
      <c r="Q51" s="445"/>
      <c r="R51" s="445"/>
      <c r="S51" s="445"/>
      <c r="T51" s="445"/>
      <c r="U51" s="445"/>
      <c r="V51" s="445"/>
      <c r="W51" s="445"/>
      <c r="X51" s="445"/>
      <c r="Y51" s="445"/>
      <c r="Z51" s="445"/>
      <c r="AA51" s="445"/>
      <c r="AB51" s="445"/>
      <c r="AC51" s="445"/>
      <c r="AD51" s="445"/>
      <c r="AE51" s="445"/>
      <c r="AF51" s="445"/>
      <c r="AG51" s="445"/>
      <c r="AH51" s="40"/>
    </row>
    <row r="52" spans="1:34" x14ac:dyDescent="0.2">
      <c r="A52" s="293" t="s">
        <v>157</v>
      </c>
      <c r="B52" s="46">
        <v>0</v>
      </c>
      <c r="C52" s="46">
        <v>0</v>
      </c>
      <c r="D52" s="46">
        <v>0</v>
      </c>
      <c r="E52" s="46">
        <v>0</v>
      </c>
      <c r="F52" s="46">
        <v>0</v>
      </c>
      <c r="G52" s="46">
        <v>0</v>
      </c>
      <c r="H52" s="46">
        <v>0</v>
      </c>
      <c r="I52" s="46">
        <v>0</v>
      </c>
      <c r="J52" s="46">
        <v>0</v>
      </c>
      <c r="K52" s="46">
        <v>0</v>
      </c>
      <c r="L52" s="661">
        <v>0</v>
      </c>
      <c r="M52" s="46">
        <v>0</v>
      </c>
      <c r="N52" s="445"/>
      <c r="O52" s="445"/>
      <c r="P52" s="445"/>
      <c r="Q52" s="445"/>
      <c r="R52" s="445"/>
      <c r="S52" s="445"/>
      <c r="T52" s="445"/>
      <c r="U52" s="445"/>
      <c r="V52" s="445"/>
      <c r="W52" s="445"/>
      <c r="X52" s="445"/>
      <c r="Y52" s="445"/>
      <c r="Z52" s="445"/>
      <c r="AA52" s="445"/>
      <c r="AB52" s="445"/>
      <c r="AC52" s="445"/>
      <c r="AD52" s="445"/>
      <c r="AE52" s="445"/>
      <c r="AF52" s="445"/>
      <c r="AG52" s="445"/>
      <c r="AH52" s="40"/>
    </row>
    <row r="53" spans="1:34" x14ac:dyDescent="0.2">
      <c r="A53" s="294" t="s">
        <v>158</v>
      </c>
      <c r="B53" s="52">
        <v>0</v>
      </c>
      <c r="C53" s="52">
        <v>0</v>
      </c>
      <c r="D53" s="52">
        <v>0</v>
      </c>
      <c r="E53" s="52">
        <v>0</v>
      </c>
      <c r="F53" s="52">
        <v>0</v>
      </c>
      <c r="G53" s="52">
        <v>0</v>
      </c>
      <c r="H53" s="52">
        <v>0</v>
      </c>
      <c r="I53" s="52">
        <v>0</v>
      </c>
      <c r="J53" s="52">
        <v>0</v>
      </c>
      <c r="K53" s="52">
        <v>0</v>
      </c>
      <c r="L53" s="646">
        <v>0</v>
      </c>
      <c r="M53" s="52">
        <v>0</v>
      </c>
      <c r="N53" s="445"/>
      <c r="O53" s="445"/>
      <c r="P53" s="445"/>
      <c r="Q53" s="445"/>
      <c r="R53" s="445"/>
      <c r="S53" s="445"/>
      <c r="T53" s="445"/>
      <c r="U53" s="445"/>
      <c r="V53" s="445"/>
      <c r="W53" s="445"/>
      <c r="X53" s="445"/>
      <c r="Y53" s="445"/>
      <c r="Z53" s="445"/>
      <c r="AA53" s="445"/>
      <c r="AB53" s="445"/>
      <c r="AC53" s="445"/>
      <c r="AD53" s="445"/>
      <c r="AE53" s="445"/>
      <c r="AF53" s="445"/>
      <c r="AG53" s="445"/>
      <c r="AH53" s="40"/>
    </row>
    <row r="54" spans="1:34" s="40" customFormat="1" x14ac:dyDescent="0.2">
      <c r="A54" s="293" t="s">
        <v>159</v>
      </c>
      <c r="B54" s="46">
        <f>2*B$32</f>
        <v>1.4</v>
      </c>
      <c r="C54" s="46">
        <f>2*C$32</f>
        <v>1.6</v>
      </c>
      <c r="D54" s="46">
        <f>2*D$32</f>
        <v>1.6</v>
      </c>
      <c r="E54" s="46">
        <f>2*E$32</f>
        <v>1.8</v>
      </c>
      <c r="F54" s="46">
        <f>2*F$32</f>
        <v>1.8</v>
      </c>
      <c r="G54" s="46">
        <v>0</v>
      </c>
      <c r="H54" s="46">
        <v>0</v>
      </c>
      <c r="I54" s="46">
        <v>0</v>
      </c>
      <c r="J54" s="46">
        <v>0</v>
      </c>
      <c r="K54" s="46">
        <v>0</v>
      </c>
      <c r="L54" s="661">
        <v>0</v>
      </c>
      <c r="M54" s="46">
        <v>0</v>
      </c>
      <c r="N54" s="445"/>
      <c r="O54" s="445"/>
      <c r="P54" s="445"/>
      <c r="Q54" s="445"/>
      <c r="R54" s="445"/>
      <c r="S54" s="445"/>
      <c r="T54" s="445"/>
      <c r="U54" s="445"/>
      <c r="V54" s="445"/>
      <c r="W54" s="445"/>
      <c r="X54" s="445"/>
      <c r="Y54" s="445"/>
      <c r="Z54" s="445"/>
      <c r="AA54" s="445"/>
      <c r="AB54" s="445"/>
      <c r="AC54" s="445"/>
      <c r="AD54" s="445"/>
      <c r="AE54" s="445"/>
      <c r="AF54" s="445"/>
      <c r="AG54" s="445"/>
    </row>
    <row r="55" spans="1:34" s="40" customFormat="1" x14ac:dyDescent="0.2">
      <c r="A55" s="294" t="s">
        <v>160</v>
      </c>
      <c r="B55" s="52">
        <f>B54*0.8</f>
        <v>1.1199999999999999</v>
      </c>
      <c r="C55" s="52">
        <f>C54*0.8</f>
        <v>1.2800000000000002</v>
      </c>
      <c r="D55" s="52">
        <f>D54*0.8</f>
        <v>1.2800000000000002</v>
      </c>
      <c r="E55" s="52">
        <f>E54*0.8</f>
        <v>1.4400000000000002</v>
      </c>
      <c r="F55" s="52">
        <f>F54*0.8</f>
        <v>1.4400000000000002</v>
      </c>
      <c r="G55" s="52">
        <v>0</v>
      </c>
      <c r="H55" s="52">
        <v>0</v>
      </c>
      <c r="I55" s="52">
        <v>0</v>
      </c>
      <c r="J55" s="52">
        <v>0</v>
      </c>
      <c r="K55" s="52">
        <v>0</v>
      </c>
      <c r="L55" s="646">
        <v>0</v>
      </c>
      <c r="M55" s="52">
        <v>0</v>
      </c>
      <c r="N55" s="445"/>
      <c r="O55" s="445"/>
      <c r="P55" s="445"/>
      <c r="Q55" s="445"/>
      <c r="R55" s="445"/>
      <c r="S55" s="445"/>
      <c r="T55" s="445"/>
      <c r="U55" s="445"/>
      <c r="V55" s="445"/>
      <c r="W55" s="445"/>
      <c r="X55" s="445"/>
      <c r="Y55" s="445"/>
      <c r="Z55" s="445"/>
      <c r="AA55" s="445"/>
      <c r="AB55" s="445"/>
      <c r="AC55" s="445"/>
      <c r="AD55" s="445"/>
      <c r="AE55" s="445"/>
      <c r="AF55" s="445"/>
      <c r="AG55" s="445"/>
    </row>
    <row r="56" spans="1:34" s="40" customFormat="1" x14ac:dyDescent="0.2">
      <c r="A56" s="293" t="s">
        <v>161</v>
      </c>
      <c r="B56" s="46">
        <f t="shared" ref="B56:L56" si="19">3*B$32</f>
        <v>2.0999999999999996</v>
      </c>
      <c r="C56" s="46">
        <f t="shared" si="19"/>
        <v>2.4000000000000004</v>
      </c>
      <c r="D56" s="46">
        <f t="shared" si="19"/>
        <v>2.4000000000000004</v>
      </c>
      <c r="E56" s="46">
        <f t="shared" si="19"/>
        <v>2.7</v>
      </c>
      <c r="F56" s="46">
        <f t="shared" si="19"/>
        <v>2.7</v>
      </c>
      <c r="G56" s="46">
        <f t="shared" si="19"/>
        <v>3</v>
      </c>
      <c r="H56" s="46">
        <f t="shared" si="19"/>
        <v>3</v>
      </c>
      <c r="I56" s="46">
        <f t="shared" si="19"/>
        <v>3</v>
      </c>
      <c r="J56" s="46">
        <f t="shared" si="19"/>
        <v>3</v>
      </c>
      <c r="K56" s="46">
        <f t="shared" si="19"/>
        <v>3</v>
      </c>
      <c r="L56" s="661">
        <f t="shared" si="19"/>
        <v>3</v>
      </c>
      <c r="M56" s="46">
        <v>0</v>
      </c>
      <c r="N56" s="445"/>
      <c r="O56" s="445"/>
      <c r="P56" s="445"/>
      <c r="Q56" s="445"/>
      <c r="R56" s="445"/>
      <c r="S56" s="445"/>
      <c r="T56" s="445"/>
      <c r="U56" s="445"/>
      <c r="V56" s="445"/>
      <c r="W56" s="445"/>
      <c r="X56" s="445"/>
      <c r="Y56" s="445"/>
      <c r="Z56" s="445"/>
      <c r="AA56" s="445"/>
      <c r="AB56" s="445"/>
      <c r="AC56" s="445"/>
      <c r="AD56" s="445"/>
      <c r="AE56" s="445"/>
      <c r="AF56" s="445"/>
      <c r="AG56" s="445"/>
    </row>
    <row r="57" spans="1:34" s="40" customFormat="1" x14ac:dyDescent="0.2">
      <c r="A57" s="294" t="s">
        <v>162</v>
      </c>
      <c r="B57" s="52">
        <f t="shared" ref="B57:M57" si="20">B56*0.8</f>
        <v>1.6799999999999997</v>
      </c>
      <c r="C57" s="52">
        <f t="shared" si="20"/>
        <v>1.9200000000000004</v>
      </c>
      <c r="D57" s="52">
        <f t="shared" si="20"/>
        <v>1.9200000000000004</v>
      </c>
      <c r="E57" s="52">
        <f t="shared" si="20"/>
        <v>2.16</v>
      </c>
      <c r="F57" s="52">
        <f t="shared" si="20"/>
        <v>2.16</v>
      </c>
      <c r="G57" s="52">
        <f t="shared" si="20"/>
        <v>2.4000000000000004</v>
      </c>
      <c r="H57" s="52">
        <f t="shared" si="20"/>
        <v>2.4000000000000004</v>
      </c>
      <c r="I57" s="52">
        <f t="shared" si="20"/>
        <v>2.4000000000000004</v>
      </c>
      <c r="J57" s="52">
        <f t="shared" si="20"/>
        <v>2.4000000000000004</v>
      </c>
      <c r="K57" s="52">
        <f t="shared" si="20"/>
        <v>2.4000000000000004</v>
      </c>
      <c r="L57" s="646">
        <f t="shared" si="20"/>
        <v>2.4000000000000004</v>
      </c>
      <c r="M57" s="52">
        <f t="shared" si="20"/>
        <v>0</v>
      </c>
      <c r="N57" s="445"/>
      <c r="O57" s="445"/>
      <c r="P57" s="445"/>
      <c r="Q57" s="445"/>
      <c r="R57" s="445"/>
      <c r="S57" s="445"/>
      <c r="T57" s="445"/>
      <c r="U57" s="445"/>
      <c r="V57" s="445"/>
      <c r="W57" s="445"/>
      <c r="X57" s="445"/>
      <c r="Y57" s="445"/>
      <c r="Z57" s="445"/>
      <c r="AA57" s="445"/>
      <c r="AB57" s="445"/>
      <c r="AC57" s="445"/>
      <c r="AD57" s="445"/>
      <c r="AE57" s="445"/>
      <c r="AF57" s="445"/>
      <c r="AG57" s="445"/>
    </row>
    <row r="58" spans="1:34" s="40" customFormat="1" x14ac:dyDescent="0.2">
      <c r="A58" s="293" t="s">
        <v>163</v>
      </c>
      <c r="B58" s="46">
        <v>0</v>
      </c>
      <c r="C58" s="46">
        <v>0</v>
      </c>
      <c r="D58" s="46">
        <v>0</v>
      </c>
      <c r="E58" s="46">
        <v>0</v>
      </c>
      <c r="F58" s="46">
        <v>0</v>
      </c>
      <c r="G58" s="46">
        <v>0</v>
      </c>
      <c r="H58" s="46">
        <v>0</v>
      </c>
      <c r="I58" s="46">
        <v>0</v>
      </c>
      <c r="J58" s="46">
        <v>0</v>
      </c>
      <c r="K58" s="46">
        <v>0</v>
      </c>
      <c r="L58" s="661">
        <v>0</v>
      </c>
      <c r="M58" s="46">
        <v>0</v>
      </c>
      <c r="N58" s="445"/>
      <c r="O58" s="445"/>
      <c r="P58" s="445"/>
      <c r="Q58" s="445"/>
      <c r="R58" s="445"/>
      <c r="S58" s="445"/>
      <c r="T58" s="445"/>
      <c r="U58" s="445"/>
      <c r="V58" s="445"/>
      <c r="W58" s="445"/>
      <c r="X58" s="445"/>
      <c r="Y58" s="445"/>
      <c r="Z58" s="445"/>
      <c r="AA58" s="445"/>
      <c r="AB58" s="445"/>
      <c r="AC58" s="445"/>
      <c r="AD58" s="445"/>
      <c r="AE58" s="445"/>
      <c r="AF58" s="445"/>
      <c r="AG58" s="445"/>
    </row>
    <row r="59" spans="1:34" s="40" customFormat="1" x14ac:dyDescent="0.2">
      <c r="A59" s="294" t="s">
        <v>164</v>
      </c>
      <c r="B59" s="52">
        <v>0</v>
      </c>
      <c r="C59" s="52">
        <v>0</v>
      </c>
      <c r="D59" s="52">
        <v>0</v>
      </c>
      <c r="E59" s="52">
        <v>0</v>
      </c>
      <c r="F59" s="52">
        <v>0</v>
      </c>
      <c r="G59" s="52">
        <v>0</v>
      </c>
      <c r="H59" s="52">
        <v>0</v>
      </c>
      <c r="I59" s="52">
        <v>0</v>
      </c>
      <c r="J59" s="52">
        <v>0</v>
      </c>
      <c r="K59" s="52">
        <v>0</v>
      </c>
      <c r="L59" s="646">
        <v>0</v>
      </c>
      <c r="M59" s="52">
        <v>0</v>
      </c>
      <c r="N59" s="445"/>
      <c r="O59" s="445"/>
      <c r="P59" s="445"/>
      <c r="Q59" s="445"/>
      <c r="R59" s="445"/>
      <c r="S59" s="445"/>
      <c r="T59" s="445"/>
      <c r="U59" s="445"/>
      <c r="V59" s="445"/>
      <c r="W59" s="445"/>
      <c r="X59" s="445"/>
      <c r="Y59" s="445"/>
      <c r="Z59" s="445"/>
      <c r="AA59" s="445"/>
      <c r="AB59" s="445"/>
      <c r="AC59" s="445"/>
      <c r="AD59" s="445"/>
      <c r="AE59" s="445"/>
      <c r="AF59" s="445"/>
      <c r="AG59" s="445"/>
    </row>
    <row r="60" spans="1:34" x14ac:dyDescent="0.2">
      <c r="A60" s="29" t="s">
        <v>165</v>
      </c>
      <c r="B60" s="638"/>
      <c r="C60" s="31"/>
      <c r="D60" s="31"/>
      <c r="E60" s="31"/>
      <c r="F60" s="31"/>
      <c r="G60" s="31"/>
      <c r="H60" s="31"/>
      <c r="I60" s="31"/>
      <c r="J60" s="31"/>
      <c r="K60" s="31"/>
      <c r="L60" s="33"/>
      <c r="M60" s="34"/>
      <c r="N60" s="82"/>
      <c r="O60" s="82"/>
      <c r="P60" s="82"/>
      <c r="Q60" s="82"/>
      <c r="R60" s="82"/>
      <c r="S60" s="82"/>
      <c r="T60" s="82"/>
      <c r="U60" s="82"/>
      <c r="V60" s="82"/>
      <c r="W60" s="82"/>
      <c r="X60" s="82"/>
      <c r="Y60" s="82"/>
      <c r="Z60" s="82"/>
      <c r="AA60" s="82"/>
      <c r="AB60" s="82"/>
      <c r="AC60" s="82"/>
      <c r="AD60" s="82"/>
      <c r="AE60" s="82"/>
      <c r="AF60" s="82"/>
      <c r="AG60" s="82"/>
    </row>
    <row r="61" spans="1:34" x14ac:dyDescent="0.2">
      <c r="A61" s="36" t="str">
        <f>A110</f>
        <v>Pilot Upper Limit</v>
      </c>
      <c r="B61" s="145">
        <f>$B110</f>
        <v>4</v>
      </c>
      <c r="C61" s="145">
        <f t="shared" ref="C61:M61" si="21">$B110</f>
        <v>4</v>
      </c>
      <c r="D61" s="145">
        <f t="shared" si="21"/>
        <v>4</v>
      </c>
      <c r="E61" s="145">
        <f t="shared" si="21"/>
        <v>4</v>
      </c>
      <c r="F61" s="145">
        <f t="shared" si="21"/>
        <v>4</v>
      </c>
      <c r="G61" s="145">
        <f t="shared" si="21"/>
        <v>4</v>
      </c>
      <c r="H61" s="145">
        <f t="shared" si="21"/>
        <v>4</v>
      </c>
      <c r="I61" s="145">
        <f t="shared" si="21"/>
        <v>4</v>
      </c>
      <c r="J61" s="145">
        <f t="shared" si="21"/>
        <v>4</v>
      </c>
      <c r="K61" s="145">
        <f t="shared" si="21"/>
        <v>4</v>
      </c>
      <c r="L61" s="656">
        <f t="shared" si="21"/>
        <v>4</v>
      </c>
      <c r="M61" s="145">
        <f t="shared" si="21"/>
        <v>4</v>
      </c>
      <c r="N61" s="82"/>
      <c r="O61" s="82"/>
      <c r="P61" s="82"/>
      <c r="Q61" s="82"/>
      <c r="R61" s="82"/>
      <c r="S61" s="82"/>
      <c r="T61" s="82"/>
      <c r="U61" s="82"/>
      <c r="V61" s="82"/>
      <c r="W61" s="82"/>
      <c r="X61" s="82"/>
      <c r="Y61" s="82"/>
      <c r="Z61" s="82"/>
      <c r="AA61" s="82"/>
      <c r="AB61" s="82"/>
      <c r="AC61" s="82"/>
      <c r="AD61" s="82"/>
      <c r="AE61" s="82"/>
      <c r="AF61" s="82"/>
      <c r="AG61" s="82"/>
    </row>
    <row r="62" spans="1:34" x14ac:dyDescent="0.2">
      <c r="A62" s="36" t="str">
        <f t="shared" ref="A62:A92" si="22">A111</f>
        <v>Pilot Lower Limit</v>
      </c>
      <c r="B62" s="146">
        <f>IF($B111 = 0,"N/A",ROUNDUP(IF(B$13="Deploy",MAX((B$104/100)*$B111,$B111),(B$104/100)*$B111),0))</f>
        <v>2</v>
      </c>
      <c r="C62" s="146">
        <f t="shared" ref="C62:M62" si="23">IF($B111 = 0,"N/A",ROUNDUP(IF(C$13="Deploy",MAX((C$104/100)*$B111,$B111),(C$104/100)*$B111),0))</f>
        <v>2</v>
      </c>
      <c r="D62" s="146">
        <f t="shared" si="23"/>
        <v>2</v>
      </c>
      <c r="E62" s="146">
        <f t="shared" si="23"/>
        <v>3</v>
      </c>
      <c r="F62" s="146">
        <f t="shared" si="23"/>
        <v>3</v>
      </c>
      <c r="G62" s="146">
        <f t="shared" si="23"/>
        <v>4</v>
      </c>
      <c r="H62" s="146">
        <f t="shared" si="23"/>
        <v>4</v>
      </c>
      <c r="I62" s="146">
        <f t="shared" si="23"/>
        <v>4</v>
      </c>
      <c r="J62" s="146">
        <f t="shared" si="23"/>
        <v>4</v>
      </c>
      <c r="K62" s="146">
        <f t="shared" si="23"/>
        <v>4</v>
      </c>
      <c r="L62" s="657">
        <f t="shared" si="23"/>
        <v>4</v>
      </c>
      <c r="M62" s="146">
        <f t="shared" si="23"/>
        <v>2</v>
      </c>
      <c r="N62" s="82"/>
      <c r="O62" s="82"/>
      <c r="P62" s="82"/>
      <c r="Q62" s="82"/>
      <c r="R62" s="82"/>
      <c r="S62" s="82"/>
      <c r="T62" s="82"/>
      <c r="U62" s="82"/>
      <c r="V62" s="82"/>
      <c r="W62" s="82"/>
      <c r="X62" s="82"/>
      <c r="Y62" s="82"/>
      <c r="Z62" s="82"/>
      <c r="AA62" s="82"/>
      <c r="AB62" s="82"/>
      <c r="AC62" s="82"/>
      <c r="AD62" s="82"/>
      <c r="AE62" s="82"/>
      <c r="AF62" s="82"/>
      <c r="AG62" s="82"/>
    </row>
    <row r="63" spans="1:34" x14ac:dyDescent="0.2">
      <c r="A63" s="36" t="str">
        <f t="shared" si="22"/>
        <v>MRWMC Pilots</v>
      </c>
      <c r="B63" s="146" t="str">
        <f t="shared" ref="B63:B77" si="24">IF($B112 = "NA","NA",ROUNDUP(IF(B$13="Deploy",MAX((B$104/100)*$B112,$B112),(B$104/100)*$B112),0))</f>
        <v>NA</v>
      </c>
      <c r="C63" s="146" t="str">
        <f t="shared" ref="C63:M63" si="25">IF($B112 = "NA","NA",ROUNDUP(IF(C$13="Deploy",MAX((C$104/100)*$B112,$B112),(C$104/100)*$B112),0))</f>
        <v>NA</v>
      </c>
      <c r="D63" s="146" t="str">
        <f t="shared" si="25"/>
        <v>NA</v>
      </c>
      <c r="E63" s="146" t="str">
        <f t="shared" si="25"/>
        <v>NA</v>
      </c>
      <c r="F63" s="146" t="str">
        <f t="shared" si="25"/>
        <v>NA</v>
      </c>
      <c r="G63" s="146" t="str">
        <f t="shared" si="25"/>
        <v>NA</v>
      </c>
      <c r="H63" s="146" t="str">
        <f t="shared" si="25"/>
        <v>NA</v>
      </c>
      <c r="I63" s="146" t="str">
        <f t="shared" si="25"/>
        <v>NA</v>
      </c>
      <c r="J63" s="146" t="str">
        <f t="shared" si="25"/>
        <v>NA</v>
      </c>
      <c r="K63" s="146" t="str">
        <f t="shared" si="25"/>
        <v>NA</v>
      </c>
      <c r="L63" s="657" t="str">
        <f t="shared" si="25"/>
        <v>NA</v>
      </c>
      <c r="M63" s="146" t="str">
        <f t="shared" si="25"/>
        <v>NA</v>
      </c>
      <c r="N63" s="82"/>
      <c r="O63" s="82"/>
      <c r="P63" s="82"/>
      <c r="Q63" s="82"/>
      <c r="R63" s="82"/>
      <c r="S63" s="82"/>
      <c r="T63" s="82"/>
      <c r="U63" s="82"/>
      <c r="V63" s="82"/>
      <c r="W63" s="82"/>
      <c r="X63" s="82"/>
      <c r="Y63" s="82"/>
      <c r="Z63" s="82"/>
      <c r="AA63" s="82"/>
      <c r="AB63" s="82"/>
      <c r="AC63" s="82"/>
      <c r="AD63" s="82"/>
      <c r="AE63" s="82"/>
      <c r="AF63" s="82"/>
      <c r="AG63" s="82"/>
    </row>
    <row r="64" spans="1:34" x14ac:dyDescent="0.2">
      <c r="A64" s="36" t="str">
        <f t="shared" si="22"/>
        <v>≥ Level 4 Pilots</v>
      </c>
      <c r="B64" s="146" t="str">
        <f t="shared" si="24"/>
        <v>NA</v>
      </c>
      <c r="C64" s="146" t="str">
        <f t="shared" ref="C64:M64" si="26">IF($B113 = "NA","NA",ROUNDUP(IF(C$13="Deploy",MAX((C$104/100)*$B113,$B113),(C$104/100)*$B113),0))</f>
        <v>NA</v>
      </c>
      <c r="D64" s="146" t="str">
        <f t="shared" si="26"/>
        <v>NA</v>
      </c>
      <c r="E64" s="146" t="str">
        <f t="shared" si="26"/>
        <v>NA</v>
      </c>
      <c r="F64" s="146" t="str">
        <f t="shared" si="26"/>
        <v>NA</v>
      </c>
      <c r="G64" s="146" t="str">
        <f t="shared" si="26"/>
        <v>NA</v>
      </c>
      <c r="H64" s="146" t="str">
        <f t="shared" si="26"/>
        <v>NA</v>
      </c>
      <c r="I64" s="146" t="str">
        <f t="shared" si="26"/>
        <v>NA</v>
      </c>
      <c r="J64" s="146" t="str">
        <f t="shared" si="26"/>
        <v>NA</v>
      </c>
      <c r="K64" s="146" t="str">
        <f t="shared" si="26"/>
        <v>NA</v>
      </c>
      <c r="L64" s="657" t="str">
        <f t="shared" si="26"/>
        <v>NA</v>
      </c>
      <c r="M64" s="146" t="str">
        <f t="shared" si="26"/>
        <v>NA</v>
      </c>
      <c r="N64" s="82"/>
      <c r="O64" s="82"/>
      <c r="P64" s="82"/>
      <c r="Q64" s="82"/>
      <c r="R64" s="82"/>
      <c r="S64" s="82"/>
      <c r="T64" s="82"/>
      <c r="U64" s="82"/>
      <c r="V64" s="82"/>
      <c r="W64" s="82"/>
      <c r="X64" s="82"/>
      <c r="Y64" s="82"/>
      <c r="Z64" s="82"/>
      <c r="AA64" s="82"/>
      <c r="AB64" s="82"/>
      <c r="AC64" s="82"/>
      <c r="AD64" s="82"/>
      <c r="AE64" s="82"/>
      <c r="AF64" s="82"/>
      <c r="AG64" s="82"/>
    </row>
    <row r="65" spans="1:33" x14ac:dyDescent="0.2">
      <c r="A65" s="36" t="str">
        <f t="shared" si="22"/>
        <v>≥ Level 3 Pilots</v>
      </c>
      <c r="B65" s="146">
        <f t="shared" si="24"/>
        <v>1</v>
      </c>
      <c r="C65" s="146">
        <f t="shared" ref="C65:M65" si="27">IF($B114 = "NA","NA",ROUNDUP(IF(C$13="Deploy",MAX((C$104/100)*$B114,$B114),(C$104/100)*$B114),0))</f>
        <v>1</v>
      </c>
      <c r="D65" s="146">
        <f t="shared" si="27"/>
        <v>1</v>
      </c>
      <c r="E65" s="146">
        <f t="shared" si="27"/>
        <v>1</v>
      </c>
      <c r="F65" s="146">
        <f t="shared" si="27"/>
        <v>1</v>
      </c>
      <c r="G65" s="146">
        <f t="shared" si="27"/>
        <v>1</v>
      </c>
      <c r="H65" s="146">
        <f t="shared" si="27"/>
        <v>1</v>
      </c>
      <c r="I65" s="146">
        <f t="shared" si="27"/>
        <v>1</v>
      </c>
      <c r="J65" s="146">
        <f t="shared" si="27"/>
        <v>1</v>
      </c>
      <c r="K65" s="146">
        <f t="shared" si="27"/>
        <v>1</v>
      </c>
      <c r="L65" s="657">
        <f t="shared" si="27"/>
        <v>1</v>
      </c>
      <c r="M65" s="146">
        <f t="shared" si="27"/>
        <v>1</v>
      </c>
      <c r="N65" s="82"/>
      <c r="O65" s="82"/>
      <c r="P65" s="82"/>
      <c r="Q65" s="82"/>
      <c r="R65" s="82"/>
      <c r="S65" s="82"/>
      <c r="T65" s="82"/>
      <c r="U65" s="82"/>
      <c r="V65" s="82"/>
      <c r="W65" s="82"/>
      <c r="X65" s="82"/>
      <c r="Y65" s="82"/>
      <c r="Z65" s="82"/>
      <c r="AA65" s="82"/>
      <c r="AB65" s="82"/>
      <c r="AC65" s="82"/>
      <c r="AD65" s="82"/>
      <c r="AE65" s="82"/>
      <c r="AF65" s="82"/>
      <c r="AG65" s="82"/>
    </row>
    <row r="66" spans="1:33" x14ac:dyDescent="0.2">
      <c r="A66" s="36" t="str">
        <f t="shared" si="22"/>
        <v>≥ Level 2 Pilots</v>
      </c>
      <c r="B66" s="146">
        <f t="shared" si="24"/>
        <v>1</v>
      </c>
      <c r="C66" s="146">
        <f t="shared" ref="C66:M66" si="28">IF($B115 = "NA","NA",ROUNDUP(IF(C$13="Deploy",MAX((C$104/100)*$B115,$B115),(C$104/100)*$B115),0))</f>
        <v>1</v>
      </c>
      <c r="D66" s="146">
        <f t="shared" si="28"/>
        <v>1</v>
      </c>
      <c r="E66" s="146">
        <f t="shared" si="28"/>
        <v>2</v>
      </c>
      <c r="F66" s="146">
        <f t="shared" si="28"/>
        <v>2</v>
      </c>
      <c r="G66" s="146">
        <f t="shared" si="28"/>
        <v>2</v>
      </c>
      <c r="H66" s="146">
        <f t="shared" si="28"/>
        <v>2</v>
      </c>
      <c r="I66" s="146">
        <f t="shared" si="28"/>
        <v>2</v>
      </c>
      <c r="J66" s="146">
        <f t="shared" si="28"/>
        <v>2</v>
      </c>
      <c r="K66" s="146">
        <f t="shared" si="28"/>
        <v>2</v>
      </c>
      <c r="L66" s="657">
        <f t="shared" si="28"/>
        <v>2</v>
      </c>
      <c r="M66" s="146">
        <f t="shared" si="28"/>
        <v>1</v>
      </c>
      <c r="N66" s="82"/>
      <c r="O66" s="82"/>
      <c r="P66" s="82"/>
      <c r="Q66" s="82"/>
      <c r="R66" s="82"/>
      <c r="S66" s="82"/>
      <c r="T66" s="82"/>
      <c r="U66" s="82"/>
      <c r="V66" s="82"/>
      <c r="W66" s="82"/>
      <c r="X66" s="82"/>
      <c r="Y66" s="82"/>
      <c r="Z66" s="82"/>
      <c r="AA66" s="82"/>
      <c r="AB66" s="82"/>
      <c r="AC66" s="82"/>
      <c r="AD66" s="82"/>
      <c r="AE66" s="82"/>
      <c r="AF66" s="82"/>
      <c r="AG66" s="82"/>
    </row>
    <row r="67" spans="1:33" x14ac:dyDescent="0.2">
      <c r="A67" s="36" t="str">
        <f t="shared" si="22"/>
        <v>≥ Level 1 Pilots</v>
      </c>
      <c r="B67" s="146">
        <f t="shared" si="24"/>
        <v>2</v>
      </c>
      <c r="C67" s="146">
        <f t="shared" ref="C67:M67" si="29">IF($B116 = "NA","NA",ROUNDUP(IF(C$13="Deploy",MAX((C$104/100)*$B116,$B116),(C$104/100)*$B116),0))</f>
        <v>2</v>
      </c>
      <c r="D67" s="146">
        <f t="shared" si="29"/>
        <v>2</v>
      </c>
      <c r="E67" s="146">
        <f t="shared" si="29"/>
        <v>3</v>
      </c>
      <c r="F67" s="146">
        <f t="shared" si="29"/>
        <v>3</v>
      </c>
      <c r="G67" s="146">
        <f t="shared" si="29"/>
        <v>4</v>
      </c>
      <c r="H67" s="146">
        <f t="shared" si="29"/>
        <v>4</v>
      </c>
      <c r="I67" s="146">
        <f t="shared" si="29"/>
        <v>4</v>
      </c>
      <c r="J67" s="146">
        <f t="shared" si="29"/>
        <v>4</v>
      </c>
      <c r="K67" s="146">
        <f t="shared" si="29"/>
        <v>4</v>
      </c>
      <c r="L67" s="657">
        <f t="shared" si="29"/>
        <v>4</v>
      </c>
      <c r="M67" s="146">
        <f t="shared" si="29"/>
        <v>2</v>
      </c>
      <c r="N67" s="82"/>
      <c r="O67" s="82"/>
      <c r="P67" s="82"/>
      <c r="Q67" s="82"/>
      <c r="R67" s="82"/>
      <c r="S67" s="82"/>
      <c r="T67" s="82"/>
      <c r="U67" s="82"/>
      <c r="V67" s="82"/>
      <c r="W67" s="82"/>
      <c r="X67" s="82"/>
      <c r="Y67" s="82"/>
      <c r="Z67" s="82"/>
      <c r="AA67" s="82"/>
      <c r="AB67" s="82"/>
      <c r="AC67" s="82"/>
      <c r="AD67" s="82"/>
      <c r="AE67" s="82"/>
      <c r="AF67" s="82"/>
      <c r="AG67" s="82"/>
    </row>
    <row r="68" spans="1:33" x14ac:dyDescent="0.2">
      <c r="A68" s="36" t="str">
        <f t="shared" si="22"/>
        <v>≥ PR/SOF 4 Pilots</v>
      </c>
      <c r="B68" s="146" t="str">
        <f t="shared" si="24"/>
        <v>NA</v>
      </c>
      <c r="C68" s="146" t="str">
        <f t="shared" ref="C68:M68" si="30">IF($B117 = "NA","NA",ROUNDUP(IF(C$13="Deploy",MAX((C$104/100)*$B117,$B117),(C$104/100)*$B117),0))</f>
        <v>NA</v>
      </c>
      <c r="D68" s="146" t="str">
        <f t="shared" si="30"/>
        <v>NA</v>
      </c>
      <c r="E68" s="146" t="str">
        <f t="shared" si="30"/>
        <v>NA</v>
      </c>
      <c r="F68" s="146" t="str">
        <f t="shared" si="30"/>
        <v>NA</v>
      </c>
      <c r="G68" s="146" t="str">
        <f t="shared" si="30"/>
        <v>NA</v>
      </c>
      <c r="H68" s="146" t="str">
        <f t="shared" si="30"/>
        <v>NA</v>
      </c>
      <c r="I68" s="146" t="str">
        <f t="shared" si="30"/>
        <v>NA</v>
      </c>
      <c r="J68" s="146" t="str">
        <f t="shared" si="30"/>
        <v>NA</v>
      </c>
      <c r="K68" s="146" t="str">
        <f t="shared" si="30"/>
        <v>NA</v>
      </c>
      <c r="L68" s="657" t="str">
        <f t="shared" si="30"/>
        <v>NA</v>
      </c>
      <c r="M68" s="146" t="str">
        <f t="shared" si="30"/>
        <v>NA</v>
      </c>
      <c r="N68" s="82"/>
      <c r="O68" s="82"/>
      <c r="P68" s="82"/>
      <c r="Q68" s="82"/>
      <c r="R68" s="82"/>
      <c r="S68" s="82"/>
      <c r="T68" s="82"/>
      <c r="U68" s="82"/>
      <c r="V68" s="82"/>
      <c r="W68" s="82"/>
      <c r="X68" s="82"/>
      <c r="Y68" s="82"/>
      <c r="Z68" s="82"/>
      <c r="AA68" s="82"/>
      <c r="AB68" s="82"/>
      <c r="AC68" s="82"/>
      <c r="AD68" s="82"/>
      <c r="AE68" s="82"/>
      <c r="AF68" s="82"/>
      <c r="AG68" s="82"/>
    </row>
    <row r="69" spans="1:33" x14ac:dyDescent="0.2">
      <c r="A69" s="36" t="str">
        <f t="shared" si="22"/>
        <v>≥ PR/SOF 3 Pilots</v>
      </c>
      <c r="B69" s="146" t="str">
        <f t="shared" si="24"/>
        <v>NA</v>
      </c>
      <c r="C69" s="146" t="str">
        <f t="shared" ref="C69:M69" si="31">IF($B118 = "NA","NA",ROUNDUP(IF(C$13="Deploy",MAX((C$104/100)*$B118,$B118),(C$104/100)*$B118),0))</f>
        <v>NA</v>
      </c>
      <c r="D69" s="146" t="str">
        <f t="shared" si="31"/>
        <v>NA</v>
      </c>
      <c r="E69" s="146" t="str">
        <f t="shared" si="31"/>
        <v>NA</v>
      </c>
      <c r="F69" s="146" t="str">
        <f t="shared" si="31"/>
        <v>NA</v>
      </c>
      <c r="G69" s="146" t="str">
        <f t="shared" si="31"/>
        <v>NA</v>
      </c>
      <c r="H69" s="146" t="str">
        <f t="shared" si="31"/>
        <v>NA</v>
      </c>
      <c r="I69" s="146" t="str">
        <f t="shared" si="31"/>
        <v>NA</v>
      </c>
      <c r="J69" s="146" t="str">
        <f t="shared" si="31"/>
        <v>NA</v>
      </c>
      <c r="K69" s="146" t="str">
        <f t="shared" si="31"/>
        <v>NA</v>
      </c>
      <c r="L69" s="657" t="str">
        <f t="shared" si="31"/>
        <v>NA</v>
      </c>
      <c r="M69" s="146" t="str">
        <f t="shared" si="31"/>
        <v>NA</v>
      </c>
      <c r="N69" s="82"/>
      <c r="O69" s="82"/>
      <c r="P69" s="82"/>
      <c r="Q69" s="82"/>
      <c r="R69" s="82"/>
      <c r="S69" s="82"/>
      <c r="T69" s="82"/>
      <c r="U69" s="82"/>
      <c r="V69" s="82"/>
      <c r="W69" s="82"/>
      <c r="X69" s="82"/>
      <c r="Y69" s="82"/>
      <c r="Z69" s="82"/>
      <c r="AA69" s="82"/>
      <c r="AB69" s="82"/>
      <c r="AC69" s="82"/>
      <c r="AD69" s="82"/>
      <c r="AE69" s="82"/>
      <c r="AF69" s="82"/>
      <c r="AG69" s="82"/>
    </row>
    <row r="70" spans="1:33" x14ac:dyDescent="0.2">
      <c r="A70" s="36" t="str">
        <f t="shared" si="22"/>
        <v>≥ PR/SOF 2 Pilots</v>
      </c>
      <c r="B70" s="146" t="str">
        <f t="shared" si="24"/>
        <v>NA</v>
      </c>
      <c r="C70" s="146" t="str">
        <f t="shared" ref="C70:M70" si="32">IF($B119 = "NA","NA",ROUNDUP(IF(C$13="Deploy",MAX((C$104/100)*$B119,$B119),(C$104/100)*$B119),0))</f>
        <v>NA</v>
      </c>
      <c r="D70" s="146" t="str">
        <f t="shared" si="32"/>
        <v>NA</v>
      </c>
      <c r="E70" s="146" t="str">
        <f t="shared" si="32"/>
        <v>NA</v>
      </c>
      <c r="F70" s="146" t="str">
        <f t="shared" si="32"/>
        <v>NA</v>
      </c>
      <c r="G70" s="146" t="str">
        <f t="shared" si="32"/>
        <v>NA</v>
      </c>
      <c r="H70" s="146" t="str">
        <f t="shared" si="32"/>
        <v>NA</v>
      </c>
      <c r="I70" s="146" t="str">
        <f t="shared" si="32"/>
        <v>NA</v>
      </c>
      <c r="J70" s="146" t="str">
        <f t="shared" si="32"/>
        <v>NA</v>
      </c>
      <c r="K70" s="146" t="str">
        <f t="shared" si="32"/>
        <v>NA</v>
      </c>
      <c r="L70" s="657" t="str">
        <f t="shared" si="32"/>
        <v>NA</v>
      </c>
      <c r="M70" s="146" t="str">
        <f t="shared" si="32"/>
        <v>NA</v>
      </c>
      <c r="N70" s="82"/>
      <c r="O70" s="82"/>
      <c r="P70" s="82"/>
      <c r="Q70" s="82"/>
      <c r="R70" s="82"/>
      <c r="S70" s="82"/>
      <c r="T70" s="82"/>
      <c r="U70" s="82"/>
      <c r="V70" s="82"/>
      <c r="W70" s="82"/>
      <c r="X70" s="82"/>
      <c r="Y70" s="82"/>
      <c r="Z70" s="82"/>
      <c r="AA70" s="82"/>
      <c r="AB70" s="82"/>
      <c r="AC70" s="82"/>
      <c r="AD70" s="82"/>
      <c r="AE70" s="82"/>
      <c r="AF70" s="82"/>
      <c r="AG70" s="82"/>
    </row>
    <row r="71" spans="1:33" x14ac:dyDescent="0.2">
      <c r="A71" s="36" t="str">
        <f t="shared" si="22"/>
        <v>≥ PR/SOF 1 Pilots</v>
      </c>
      <c r="B71" s="146" t="str">
        <f t="shared" si="24"/>
        <v>NA</v>
      </c>
      <c r="C71" s="146" t="str">
        <f t="shared" ref="C71:M71" si="33">IF($B120 = "NA","NA",ROUNDUP(IF(C$13="Deploy",MAX((C$104/100)*$B120,$B120),(C$104/100)*$B120),0))</f>
        <v>NA</v>
      </c>
      <c r="D71" s="146" t="str">
        <f t="shared" si="33"/>
        <v>NA</v>
      </c>
      <c r="E71" s="146" t="str">
        <f t="shared" si="33"/>
        <v>NA</v>
      </c>
      <c r="F71" s="146" t="str">
        <f t="shared" si="33"/>
        <v>NA</v>
      </c>
      <c r="G71" s="146" t="str">
        <f t="shared" si="33"/>
        <v>NA</v>
      </c>
      <c r="H71" s="146" t="str">
        <f t="shared" si="33"/>
        <v>NA</v>
      </c>
      <c r="I71" s="146" t="str">
        <f t="shared" si="33"/>
        <v>NA</v>
      </c>
      <c r="J71" s="146" t="str">
        <f t="shared" si="33"/>
        <v>NA</v>
      </c>
      <c r="K71" s="146" t="str">
        <f t="shared" si="33"/>
        <v>NA</v>
      </c>
      <c r="L71" s="657" t="str">
        <f t="shared" si="33"/>
        <v>NA</v>
      </c>
      <c r="M71" s="146" t="str">
        <f t="shared" si="33"/>
        <v>NA</v>
      </c>
      <c r="N71" s="82"/>
      <c r="O71" s="82"/>
      <c r="P71" s="82"/>
      <c r="Q71" s="82"/>
      <c r="R71" s="82"/>
      <c r="S71" s="82"/>
      <c r="T71" s="82"/>
      <c r="U71" s="82"/>
      <c r="V71" s="82"/>
      <c r="W71" s="82"/>
      <c r="X71" s="82"/>
      <c r="Y71" s="82"/>
      <c r="Z71" s="82"/>
      <c r="AA71" s="82"/>
      <c r="AB71" s="82"/>
      <c r="AC71" s="82"/>
      <c r="AD71" s="82"/>
      <c r="AE71" s="82"/>
      <c r="AF71" s="82"/>
      <c r="AG71" s="82"/>
    </row>
    <row r="72" spans="1:33" x14ac:dyDescent="0.2">
      <c r="A72" s="36" t="str">
        <f t="shared" si="22"/>
        <v>≥ MIW Level 2 Pilots</v>
      </c>
      <c r="B72" s="146">
        <f t="shared" si="24"/>
        <v>1</v>
      </c>
      <c r="C72" s="146">
        <f t="shared" ref="C72:M72" si="34">IF($B121 = "NA","NA",ROUNDUP(IF(C$13="Deploy",MAX((C$104/100)*$B121,$B121),(C$104/100)*$B121),0))</f>
        <v>1</v>
      </c>
      <c r="D72" s="146">
        <f t="shared" si="34"/>
        <v>1</v>
      </c>
      <c r="E72" s="146">
        <f t="shared" si="34"/>
        <v>2</v>
      </c>
      <c r="F72" s="146">
        <f t="shared" si="34"/>
        <v>2</v>
      </c>
      <c r="G72" s="146">
        <f t="shared" si="34"/>
        <v>2</v>
      </c>
      <c r="H72" s="146">
        <f t="shared" si="34"/>
        <v>2</v>
      </c>
      <c r="I72" s="146">
        <f t="shared" si="34"/>
        <v>2</v>
      </c>
      <c r="J72" s="146">
        <f t="shared" si="34"/>
        <v>2</v>
      </c>
      <c r="K72" s="146">
        <f t="shared" si="34"/>
        <v>2</v>
      </c>
      <c r="L72" s="657">
        <f t="shared" si="34"/>
        <v>2</v>
      </c>
      <c r="M72" s="146">
        <f t="shared" si="34"/>
        <v>1</v>
      </c>
      <c r="N72" s="82"/>
      <c r="O72" s="82"/>
      <c r="P72" s="82"/>
      <c r="Q72" s="82"/>
      <c r="R72" s="82"/>
      <c r="S72" s="82"/>
      <c r="T72" s="82"/>
      <c r="U72" s="82"/>
      <c r="V72" s="82"/>
      <c r="W72" s="82"/>
      <c r="X72" s="82"/>
      <c r="Y72" s="82"/>
      <c r="Z72" s="82"/>
      <c r="AA72" s="82"/>
      <c r="AB72" s="82"/>
      <c r="AC72" s="82"/>
      <c r="AD72" s="82"/>
      <c r="AE72" s="82"/>
      <c r="AF72" s="82"/>
      <c r="AG72" s="82"/>
    </row>
    <row r="73" spans="1:33" x14ac:dyDescent="0.2">
      <c r="A73" s="36" t="str">
        <f t="shared" si="22"/>
        <v>≥ MIW Level 1 Pilots</v>
      </c>
      <c r="B73" s="146">
        <f t="shared" si="24"/>
        <v>2</v>
      </c>
      <c r="C73" s="146">
        <f t="shared" ref="C73:M73" si="35">IF($B122 = "NA","NA",ROUNDUP(IF(C$13="Deploy",MAX((C$104/100)*$B122,$B122),(C$104/100)*$B122),0))</f>
        <v>2</v>
      </c>
      <c r="D73" s="146">
        <f t="shared" si="35"/>
        <v>2</v>
      </c>
      <c r="E73" s="146">
        <f t="shared" si="35"/>
        <v>3</v>
      </c>
      <c r="F73" s="146">
        <f t="shared" si="35"/>
        <v>3</v>
      </c>
      <c r="G73" s="146">
        <f t="shared" si="35"/>
        <v>4</v>
      </c>
      <c r="H73" s="146">
        <f t="shared" si="35"/>
        <v>4</v>
      </c>
      <c r="I73" s="146">
        <f t="shared" si="35"/>
        <v>4</v>
      </c>
      <c r="J73" s="146">
        <f t="shared" si="35"/>
        <v>4</v>
      </c>
      <c r="K73" s="146">
        <f t="shared" si="35"/>
        <v>4</v>
      </c>
      <c r="L73" s="657">
        <f t="shared" si="35"/>
        <v>4</v>
      </c>
      <c r="M73" s="146">
        <f t="shared" si="35"/>
        <v>2</v>
      </c>
      <c r="N73" s="82"/>
      <c r="O73" s="82"/>
      <c r="P73" s="82"/>
      <c r="Q73" s="82"/>
      <c r="R73" s="82"/>
      <c r="S73" s="82"/>
      <c r="T73" s="82"/>
      <c r="U73" s="82"/>
      <c r="V73" s="82"/>
      <c r="W73" s="82"/>
      <c r="X73" s="82"/>
      <c r="Y73" s="82"/>
      <c r="Z73" s="82"/>
      <c r="AA73" s="82"/>
      <c r="AB73" s="82"/>
      <c r="AC73" s="82"/>
      <c r="AD73" s="82"/>
      <c r="AE73" s="82"/>
      <c r="AF73" s="82"/>
      <c r="AG73" s="82"/>
    </row>
    <row r="74" spans="1:33" x14ac:dyDescent="0.2">
      <c r="A74" s="36" t="str">
        <f t="shared" si="22"/>
        <v>≥ TAC Level 4 Pilots</v>
      </c>
      <c r="B74" s="146" t="str">
        <f t="shared" si="24"/>
        <v>NA</v>
      </c>
      <c r="C74" s="146" t="str">
        <f t="shared" ref="C74:M74" si="36">IF($B123 = "NA","NA",ROUNDUP(IF(C$13="Deploy",MAX((C$104/100)*$B123,$B123),(C$104/100)*$B123),0))</f>
        <v>NA</v>
      </c>
      <c r="D74" s="146" t="str">
        <f t="shared" si="36"/>
        <v>NA</v>
      </c>
      <c r="E74" s="146" t="str">
        <f t="shared" si="36"/>
        <v>NA</v>
      </c>
      <c r="F74" s="146" t="str">
        <f t="shared" si="36"/>
        <v>NA</v>
      </c>
      <c r="G74" s="146" t="str">
        <f t="shared" si="36"/>
        <v>NA</v>
      </c>
      <c r="H74" s="146" t="str">
        <f t="shared" si="36"/>
        <v>NA</v>
      </c>
      <c r="I74" s="146" t="str">
        <f t="shared" si="36"/>
        <v>NA</v>
      </c>
      <c r="J74" s="146" t="str">
        <f t="shared" si="36"/>
        <v>NA</v>
      </c>
      <c r="K74" s="146" t="str">
        <f t="shared" si="36"/>
        <v>NA</v>
      </c>
      <c r="L74" s="657" t="str">
        <f t="shared" si="36"/>
        <v>NA</v>
      </c>
      <c r="M74" s="146" t="str">
        <f t="shared" si="36"/>
        <v>NA</v>
      </c>
      <c r="N74" s="82"/>
      <c r="O74" s="82"/>
      <c r="P74" s="82"/>
      <c r="Q74" s="82"/>
      <c r="R74" s="82"/>
      <c r="S74" s="82"/>
      <c r="T74" s="82"/>
      <c r="U74" s="82"/>
      <c r="V74" s="82"/>
      <c r="W74" s="82"/>
      <c r="X74" s="82"/>
      <c r="Y74" s="82"/>
      <c r="Z74" s="82"/>
      <c r="AA74" s="82"/>
      <c r="AB74" s="82"/>
      <c r="AC74" s="82"/>
      <c r="AD74" s="82"/>
      <c r="AE74" s="82"/>
      <c r="AF74" s="82"/>
      <c r="AG74" s="82"/>
    </row>
    <row r="75" spans="1:33" x14ac:dyDescent="0.2">
      <c r="A75" s="36" t="str">
        <f t="shared" si="22"/>
        <v>≥ TAC Level 3 Pilots</v>
      </c>
      <c r="B75" s="146" t="str">
        <f t="shared" si="24"/>
        <v>NA</v>
      </c>
      <c r="C75" s="146" t="str">
        <f t="shared" ref="C75:M75" si="37">IF($B124 = "NA","NA",ROUNDUP(IF(C$13="Deploy",MAX((C$104/100)*$B124,$B124),(C$104/100)*$B124),0))</f>
        <v>NA</v>
      </c>
      <c r="D75" s="146" t="str">
        <f t="shared" si="37"/>
        <v>NA</v>
      </c>
      <c r="E75" s="146" t="str">
        <f t="shared" si="37"/>
        <v>NA</v>
      </c>
      <c r="F75" s="146" t="str">
        <f t="shared" si="37"/>
        <v>NA</v>
      </c>
      <c r="G75" s="146" t="str">
        <f t="shared" si="37"/>
        <v>NA</v>
      </c>
      <c r="H75" s="146" t="str">
        <f t="shared" si="37"/>
        <v>NA</v>
      </c>
      <c r="I75" s="146" t="str">
        <f t="shared" si="37"/>
        <v>NA</v>
      </c>
      <c r="J75" s="146" t="str">
        <f t="shared" si="37"/>
        <v>NA</v>
      </c>
      <c r="K75" s="146" t="str">
        <f t="shared" si="37"/>
        <v>NA</v>
      </c>
      <c r="L75" s="657" t="str">
        <f t="shared" si="37"/>
        <v>NA</v>
      </c>
      <c r="M75" s="146" t="str">
        <f t="shared" si="37"/>
        <v>NA</v>
      </c>
      <c r="N75" s="82"/>
      <c r="O75" s="82"/>
      <c r="P75" s="82"/>
      <c r="Q75" s="82"/>
      <c r="R75" s="82"/>
      <c r="S75" s="82"/>
      <c r="T75" s="82"/>
      <c r="U75" s="82"/>
      <c r="V75" s="82"/>
      <c r="W75" s="82"/>
      <c r="X75" s="82"/>
      <c r="Y75" s="82"/>
      <c r="Z75" s="82"/>
      <c r="AA75" s="82"/>
      <c r="AB75" s="82"/>
      <c r="AC75" s="82"/>
      <c r="AD75" s="82"/>
      <c r="AE75" s="82"/>
      <c r="AF75" s="82"/>
      <c r="AG75" s="82"/>
    </row>
    <row r="76" spans="1:33" x14ac:dyDescent="0.2">
      <c r="A76" s="36" t="str">
        <f t="shared" si="22"/>
        <v>≥ TAC Level 2 Pilots</v>
      </c>
      <c r="B76" s="146" t="str">
        <f t="shared" si="24"/>
        <v>NA</v>
      </c>
      <c r="C76" s="146" t="str">
        <f t="shared" ref="C76:M76" si="38">IF($B125 = "NA","NA",ROUNDUP(IF(C$13="Deploy",MAX((C$104/100)*$B125,$B125),(C$104/100)*$B125),0))</f>
        <v>NA</v>
      </c>
      <c r="D76" s="146" t="str">
        <f t="shared" si="38"/>
        <v>NA</v>
      </c>
      <c r="E76" s="146" t="str">
        <f t="shared" si="38"/>
        <v>NA</v>
      </c>
      <c r="F76" s="146" t="str">
        <f t="shared" si="38"/>
        <v>NA</v>
      </c>
      <c r="G76" s="146" t="str">
        <f t="shared" si="38"/>
        <v>NA</v>
      </c>
      <c r="H76" s="146" t="str">
        <f t="shared" si="38"/>
        <v>NA</v>
      </c>
      <c r="I76" s="146" t="str">
        <f t="shared" si="38"/>
        <v>NA</v>
      </c>
      <c r="J76" s="146" t="str">
        <f t="shared" si="38"/>
        <v>NA</v>
      </c>
      <c r="K76" s="146" t="str">
        <f t="shared" si="38"/>
        <v>NA</v>
      </c>
      <c r="L76" s="657" t="str">
        <f t="shared" si="38"/>
        <v>NA</v>
      </c>
      <c r="M76" s="146" t="str">
        <f t="shared" si="38"/>
        <v>NA</v>
      </c>
      <c r="N76" s="82"/>
      <c r="O76" s="82"/>
      <c r="P76" s="82"/>
      <c r="Q76" s="82"/>
      <c r="R76" s="82"/>
      <c r="S76" s="82"/>
      <c r="T76" s="82"/>
      <c r="U76" s="82"/>
      <c r="V76" s="82"/>
      <c r="W76" s="82"/>
      <c r="X76" s="82"/>
      <c r="Y76" s="82"/>
      <c r="Z76" s="82"/>
      <c r="AA76" s="82"/>
      <c r="AB76" s="82"/>
      <c r="AC76" s="82"/>
      <c r="AD76" s="82"/>
      <c r="AE76" s="82"/>
      <c r="AF76" s="82"/>
      <c r="AG76" s="82"/>
    </row>
    <row r="77" spans="1:33" x14ac:dyDescent="0.2">
      <c r="A77" s="36" t="str">
        <f t="shared" si="22"/>
        <v>Mountain Flying School Pilots</v>
      </c>
      <c r="B77" s="146" t="str">
        <f t="shared" si="24"/>
        <v>NA</v>
      </c>
      <c r="C77" s="146" t="str">
        <f t="shared" ref="C77:M77" si="39">IF($B126 = "NA","NA",ROUNDUP(IF(C$13="Deploy",MAX((C$104/100)*$B126,$B126),(C$104/100)*$B126),0))</f>
        <v>NA</v>
      </c>
      <c r="D77" s="146" t="str">
        <f t="shared" si="39"/>
        <v>NA</v>
      </c>
      <c r="E77" s="146" t="str">
        <f t="shared" si="39"/>
        <v>NA</v>
      </c>
      <c r="F77" s="146" t="str">
        <f t="shared" si="39"/>
        <v>NA</v>
      </c>
      <c r="G77" s="146" t="str">
        <f t="shared" si="39"/>
        <v>NA</v>
      </c>
      <c r="H77" s="146" t="str">
        <f t="shared" si="39"/>
        <v>NA</v>
      </c>
      <c r="I77" s="146" t="str">
        <f t="shared" si="39"/>
        <v>NA</v>
      </c>
      <c r="J77" s="146" t="str">
        <f t="shared" si="39"/>
        <v>NA</v>
      </c>
      <c r="K77" s="146" t="str">
        <f t="shared" si="39"/>
        <v>NA</v>
      </c>
      <c r="L77" s="657" t="str">
        <f t="shared" si="39"/>
        <v>NA</v>
      </c>
      <c r="M77" s="146" t="str">
        <f t="shared" si="39"/>
        <v>NA</v>
      </c>
      <c r="N77" s="82"/>
      <c r="O77" s="82"/>
      <c r="P77" s="82"/>
      <c r="Q77" s="82"/>
      <c r="R77" s="82"/>
      <c r="S77" s="82"/>
      <c r="T77" s="82"/>
      <c r="U77" s="82"/>
      <c r="V77" s="82"/>
      <c r="W77" s="82"/>
      <c r="X77" s="82"/>
      <c r="Y77" s="82"/>
      <c r="Z77" s="82"/>
      <c r="AA77" s="82"/>
      <c r="AB77" s="82"/>
      <c r="AC77" s="82"/>
      <c r="AD77" s="82"/>
      <c r="AE77" s="82"/>
      <c r="AF77" s="82"/>
      <c r="AG77" s="82"/>
    </row>
    <row r="78" spans="1:33" x14ac:dyDescent="0.2">
      <c r="A78" s="36" t="str">
        <f t="shared" si="22"/>
        <v>Aircrew Upper Limit</v>
      </c>
      <c r="B78" s="146">
        <f>$B$127</f>
        <v>4</v>
      </c>
      <c r="C78" s="146">
        <f t="shared" ref="C78:M78" si="40">$B$127</f>
        <v>4</v>
      </c>
      <c r="D78" s="146">
        <f t="shared" si="40"/>
        <v>4</v>
      </c>
      <c r="E78" s="146">
        <f t="shared" si="40"/>
        <v>4</v>
      </c>
      <c r="F78" s="146">
        <f t="shared" si="40"/>
        <v>4</v>
      </c>
      <c r="G78" s="146">
        <f t="shared" si="40"/>
        <v>4</v>
      </c>
      <c r="H78" s="146">
        <f t="shared" si="40"/>
        <v>4</v>
      </c>
      <c r="I78" s="146">
        <f t="shared" si="40"/>
        <v>4</v>
      </c>
      <c r="J78" s="146">
        <f t="shared" si="40"/>
        <v>4</v>
      </c>
      <c r="K78" s="146">
        <f t="shared" si="40"/>
        <v>4</v>
      </c>
      <c r="L78" s="657">
        <f t="shared" si="40"/>
        <v>4</v>
      </c>
      <c r="M78" s="146">
        <f t="shared" si="40"/>
        <v>4</v>
      </c>
      <c r="N78" s="82"/>
      <c r="O78" s="82"/>
      <c r="P78" s="82"/>
      <c r="Q78" s="82"/>
      <c r="R78" s="82"/>
      <c r="S78" s="82"/>
      <c r="T78" s="82"/>
      <c r="U78" s="82"/>
      <c r="V78" s="82"/>
      <c r="W78" s="82"/>
      <c r="X78" s="82"/>
      <c r="Y78" s="82"/>
      <c r="Z78" s="82"/>
      <c r="AA78" s="82"/>
      <c r="AB78" s="82"/>
      <c r="AC78" s="82"/>
      <c r="AD78" s="82"/>
      <c r="AE78" s="82"/>
      <c r="AF78" s="82"/>
      <c r="AG78" s="82"/>
    </row>
    <row r="79" spans="1:33" x14ac:dyDescent="0.2">
      <c r="A79" s="36" t="str">
        <f t="shared" si="22"/>
        <v>Aircrew Lower Limit</v>
      </c>
      <c r="B79" s="146">
        <f t="shared" ref="B79:M79" si="41">IF($B128 = "NA","NA",ROUNDUP(IF(B$13="Deploy",MAX((B$104/100)*$B128,$B128),(B$104/100)*$B128),0))</f>
        <v>2</v>
      </c>
      <c r="C79" s="146">
        <f t="shared" si="41"/>
        <v>2</v>
      </c>
      <c r="D79" s="146">
        <f t="shared" si="41"/>
        <v>2</v>
      </c>
      <c r="E79" s="146">
        <f t="shared" si="41"/>
        <v>3</v>
      </c>
      <c r="F79" s="146">
        <f t="shared" si="41"/>
        <v>3</v>
      </c>
      <c r="G79" s="146">
        <f t="shared" si="41"/>
        <v>4</v>
      </c>
      <c r="H79" s="146">
        <f t="shared" si="41"/>
        <v>4</v>
      </c>
      <c r="I79" s="146">
        <f t="shared" si="41"/>
        <v>4</v>
      </c>
      <c r="J79" s="146">
        <f t="shared" si="41"/>
        <v>4</v>
      </c>
      <c r="K79" s="146">
        <f t="shared" si="41"/>
        <v>4</v>
      </c>
      <c r="L79" s="657">
        <f t="shared" si="41"/>
        <v>4</v>
      </c>
      <c r="M79" s="146">
        <f t="shared" si="41"/>
        <v>2</v>
      </c>
      <c r="N79" s="82"/>
      <c r="O79" s="82"/>
      <c r="P79" s="82"/>
      <c r="Q79" s="82"/>
      <c r="R79" s="82"/>
      <c r="S79" s="82"/>
      <c r="T79" s="82"/>
      <c r="U79" s="82"/>
      <c r="V79" s="82"/>
      <c r="W79" s="82"/>
      <c r="X79" s="82"/>
      <c r="Y79" s="82"/>
      <c r="Z79" s="82"/>
      <c r="AA79" s="82"/>
      <c r="AB79" s="82"/>
      <c r="AC79" s="82"/>
      <c r="AD79" s="82"/>
      <c r="AE79" s="82"/>
      <c r="AF79" s="82"/>
      <c r="AG79" s="82"/>
    </row>
    <row r="80" spans="1:33" x14ac:dyDescent="0.2">
      <c r="A80" s="36" t="str">
        <f t="shared" si="22"/>
        <v>≥ Level 3 Aircrewmen</v>
      </c>
      <c r="B80" s="146">
        <f t="shared" ref="B80:M80" si="42">IF($B129 = "NA","NA",ROUNDUP(IF(B$13="Deploy",MAX((B$104/100)*$B129,$B129),(B$104/100)*$B129),0))</f>
        <v>1</v>
      </c>
      <c r="C80" s="146">
        <f t="shared" si="42"/>
        <v>1</v>
      </c>
      <c r="D80" s="146">
        <f t="shared" si="42"/>
        <v>1</v>
      </c>
      <c r="E80" s="146">
        <f t="shared" si="42"/>
        <v>1</v>
      </c>
      <c r="F80" s="146">
        <f t="shared" si="42"/>
        <v>1</v>
      </c>
      <c r="G80" s="146">
        <f t="shared" si="42"/>
        <v>1</v>
      </c>
      <c r="H80" s="146">
        <f t="shared" si="42"/>
        <v>1</v>
      </c>
      <c r="I80" s="146">
        <f t="shared" si="42"/>
        <v>1</v>
      </c>
      <c r="J80" s="146">
        <f t="shared" si="42"/>
        <v>1</v>
      </c>
      <c r="K80" s="146">
        <f t="shared" si="42"/>
        <v>1</v>
      </c>
      <c r="L80" s="657">
        <f t="shared" si="42"/>
        <v>1</v>
      </c>
      <c r="M80" s="146">
        <f t="shared" si="42"/>
        <v>1</v>
      </c>
      <c r="N80" s="82"/>
      <c r="O80" s="82"/>
      <c r="P80" s="82"/>
      <c r="Q80" s="82"/>
      <c r="R80" s="82"/>
      <c r="S80" s="82"/>
      <c r="T80" s="82"/>
      <c r="U80" s="82"/>
      <c r="V80" s="82"/>
      <c r="W80" s="82"/>
      <c r="X80" s="82"/>
      <c r="Y80" s="82"/>
      <c r="Z80" s="82"/>
      <c r="AA80" s="82"/>
      <c r="AB80" s="82"/>
      <c r="AC80" s="82"/>
      <c r="AD80" s="82"/>
      <c r="AE80" s="82"/>
      <c r="AF80" s="82"/>
      <c r="AG80" s="82"/>
    </row>
    <row r="81" spans="1:33" x14ac:dyDescent="0.2">
      <c r="A81" s="36" t="str">
        <f t="shared" si="22"/>
        <v>≥ Level 2 Aircrewmen</v>
      </c>
      <c r="B81" s="146">
        <f t="shared" ref="B81:M81" si="43">IF($B130 = "NA","NA",ROUNDUP(IF(B$13="Deploy",MAX((B$104/100)*$B130,$B130),(B$104/100)*$B130),0))</f>
        <v>2</v>
      </c>
      <c r="C81" s="146">
        <f t="shared" si="43"/>
        <v>2</v>
      </c>
      <c r="D81" s="146">
        <f t="shared" si="43"/>
        <v>2</v>
      </c>
      <c r="E81" s="146">
        <f t="shared" si="43"/>
        <v>3</v>
      </c>
      <c r="F81" s="146">
        <f t="shared" si="43"/>
        <v>3</v>
      </c>
      <c r="G81" s="146">
        <f t="shared" si="43"/>
        <v>4</v>
      </c>
      <c r="H81" s="146">
        <f t="shared" si="43"/>
        <v>4</v>
      </c>
      <c r="I81" s="146">
        <f t="shared" si="43"/>
        <v>4</v>
      </c>
      <c r="J81" s="146">
        <f t="shared" si="43"/>
        <v>4</v>
      </c>
      <c r="K81" s="146">
        <f t="shared" si="43"/>
        <v>4</v>
      </c>
      <c r="L81" s="657">
        <f t="shared" si="43"/>
        <v>4</v>
      </c>
      <c r="M81" s="146">
        <f t="shared" si="43"/>
        <v>2</v>
      </c>
      <c r="N81" s="82"/>
      <c r="O81" s="82"/>
      <c r="P81" s="82"/>
      <c r="Q81" s="82"/>
      <c r="R81" s="82"/>
      <c r="S81" s="82"/>
      <c r="T81" s="82"/>
      <c r="U81" s="82"/>
      <c r="V81" s="82"/>
      <c r="W81" s="82"/>
      <c r="X81" s="82"/>
      <c r="Y81" s="82"/>
      <c r="Z81" s="82"/>
      <c r="AA81" s="82"/>
      <c r="AB81" s="82"/>
      <c r="AC81" s="82"/>
      <c r="AD81" s="82"/>
      <c r="AE81" s="82"/>
      <c r="AF81" s="82"/>
      <c r="AG81" s="82"/>
    </row>
    <row r="82" spans="1:33" x14ac:dyDescent="0.2">
      <c r="A82" s="36" t="str">
        <f t="shared" si="22"/>
        <v>≥ Level 1 Aircrewmen</v>
      </c>
      <c r="B82" s="146">
        <f t="shared" ref="B82:M82" si="44">IF($B131 = "NA","NA",ROUNDUP(IF(B$13="Deploy",MAX((B$104/100)*$B131,$B131),(B$104/100)*$B131),0))</f>
        <v>2</v>
      </c>
      <c r="C82" s="146">
        <f t="shared" si="44"/>
        <v>2</v>
      </c>
      <c r="D82" s="146">
        <f t="shared" si="44"/>
        <v>2</v>
      </c>
      <c r="E82" s="146">
        <f t="shared" si="44"/>
        <v>3</v>
      </c>
      <c r="F82" s="146">
        <f t="shared" si="44"/>
        <v>3</v>
      </c>
      <c r="G82" s="146">
        <f t="shared" si="44"/>
        <v>4</v>
      </c>
      <c r="H82" s="146">
        <f t="shared" si="44"/>
        <v>4</v>
      </c>
      <c r="I82" s="146">
        <f t="shared" si="44"/>
        <v>4</v>
      </c>
      <c r="J82" s="146">
        <f t="shared" si="44"/>
        <v>4</v>
      </c>
      <c r="K82" s="146">
        <f t="shared" si="44"/>
        <v>4</v>
      </c>
      <c r="L82" s="657">
        <f t="shared" si="44"/>
        <v>4</v>
      </c>
      <c r="M82" s="146">
        <f t="shared" si="44"/>
        <v>2</v>
      </c>
      <c r="N82" s="82"/>
      <c r="O82" s="82"/>
      <c r="P82" s="82"/>
      <c r="Q82" s="82"/>
      <c r="R82" s="82"/>
      <c r="S82" s="82"/>
      <c r="T82" s="82"/>
      <c r="U82" s="82"/>
      <c r="V82" s="82"/>
      <c r="W82" s="82"/>
      <c r="X82" s="82"/>
      <c r="Y82" s="82"/>
      <c r="Z82" s="82"/>
      <c r="AA82" s="82"/>
      <c r="AB82" s="82"/>
      <c r="AC82" s="82"/>
      <c r="AD82" s="82"/>
      <c r="AE82" s="82"/>
      <c r="AF82" s="82"/>
      <c r="AG82" s="82"/>
    </row>
    <row r="83" spans="1:33" x14ac:dyDescent="0.2">
      <c r="A83" s="36" t="str">
        <f t="shared" si="22"/>
        <v>≥ PR/SOF 3 Aircrewmen</v>
      </c>
      <c r="B83" s="146" t="str">
        <f t="shared" ref="B83:M83" si="45">IF($B132 = "NA","NA",ROUNDUP(IF(B$13="Deploy",MAX((B$104/100)*$B132,$B132),(B$104/100)*$B132),0))</f>
        <v>NA</v>
      </c>
      <c r="C83" s="146" t="str">
        <f t="shared" si="45"/>
        <v>NA</v>
      </c>
      <c r="D83" s="146" t="str">
        <f t="shared" si="45"/>
        <v>NA</v>
      </c>
      <c r="E83" s="146" t="str">
        <f t="shared" si="45"/>
        <v>NA</v>
      </c>
      <c r="F83" s="146" t="str">
        <f t="shared" si="45"/>
        <v>NA</v>
      </c>
      <c r="G83" s="146" t="str">
        <f t="shared" si="45"/>
        <v>NA</v>
      </c>
      <c r="H83" s="146" t="str">
        <f t="shared" si="45"/>
        <v>NA</v>
      </c>
      <c r="I83" s="146" t="str">
        <f t="shared" si="45"/>
        <v>NA</v>
      </c>
      <c r="J83" s="146" t="str">
        <f t="shared" si="45"/>
        <v>NA</v>
      </c>
      <c r="K83" s="146" t="str">
        <f t="shared" si="45"/>
        <v>NA</v>
      </c>
      <c r="L83" s="657" t="str">
        <f t="shared" si="45"/>
        <v>NA</v>
      </c>
      <c r="M83" s="146" t="str">
        <f t="shared" si="45"/>
        <v>NA</v>
      </c>
      <c r="N83" s="82"/>
      <c r="O83" s="82"/>
      <c r="P83" s="82"/>
      <c r="Q83" s="82"/>
      <c r="R83" s="82"/>
      <c r="S83" s="82"/>
      <c r="T83" s="82"/>
      <c r="U83" s="82"/>
      <c r="V83" s="82"/>
      <c r="W83" s="82"/>
      <c r="X83" s="82"/>
      <c r="Y83" s="82"/>
      <c r="Z83" s="82"/>
      <c r="AA83" s="82"/>
      <c r="AB83" s="82"/>
      <c r="AC83" s="82"/>
      <c r="AD83" s="82"/>
      <c r="AE83" s="82"/>
      <c r="AF83" s="82"/>
      <c r="AG83" s="82"/>
    </row>
    <row r="84" spans="1:33" x14ac:dyDescent="0.2">
      <c r="A84" s="36" t="str">
        <f t="shared" si="22"/>
        <v>≥ MIW Level 2 Aircrewmen</v>
      </c>
      <c r="B84" s="146">
        <f t="shared" ref="B84:M84" si="46">IF($B133 = "NA","NA",ROUNDUP(IF(B$13="Deploy",MAX((B$104/100)*$B133,$B133),(B$104/100)*$B133),0))</f>
        <v>1</v>
      </c>
      <c r="C84" s="146">
        <f t="shared" si="46"/>
        <v>1</v>
      </c>
      <c r="D84" s="146">
        <f t="shared" si="46"/>
        <v>1</v>
      </c>
      <c r="E84" s="146">
        <f t="shared" si="46"/>
        <v>2</v>
      </c>
      <c r="F84" s="146">
        <f t="shared" si="46"/>
        <v>2</v>
      </c>
      <c r="G84" s="146">
        <f t="shared" si="46"/>
        <v>2</v>
      </c>
      <c r="H84" s="146">
        <f t="shared" si="46"/>
        <v>2</v>
      </c>
      <c r="I84" s="146">
        <f t="shared" si="46"/>
        <v>2</v>
      </c>
      <c r="J84" s="146">
        <f t="shared" si="46"/>
        <v>2</v>
      </c>
      <c r="K84" s="146">
        <f t="shared" si="46"/>
        <v>2</v>
      </c>
      <c r="L84" s="657">
        <f t="shared" si="46"/>
        <v>2</v>
      </c>
      <c r="M84" s="146">
        <f t="shared" si="46"/>
        <v>1</v>
      </c>
      <c r="N84" s="82"/>
      <c r="O84" s="82"/>
      <c r="P84" s="82"/>
      <c r="Q84" s="82"/>
      <c r="R84" s="82"/>
      <c r="S84" s="82"/>
      <c r="T84" s="82"/>
      <c r="U84" s="82"/>
      <c r="V84" s="82"/>
      <c r="W84" s="82"/>
      <c r="X84" s="82"/>
      <c r="Y84" s="82"/>
      <c r="Z84" s="82"/>
      <c r="AA84" s="82"/>
      <c r="AB84" s="82"/>
      <c r="AC84" s="82"/>
      <c r="AD84" s="82"/>
      <c r="AE84" s="82"/>
      <c r="AF84" s="82"/>
      <c r="AG84" s="82"/>
    </row>
    <row r="85" spans="1:33" x14ac:dyDescent="0.2">
      <c r="A85" s="36" t="str">
        <f t="shared" si="22"/>
        <v>≥ MIW Level 1 Aircrewmen</v>
      </c>
      <c r="B85" s="146">
        <f t="shared" ref="B85:M85" si="47">IF($B134 = "NA","NA",ROUNDUP(IF(B$13="Deploy",MAX((B$104/100)*$B134,$B134),(B$104/100)*$B134),0))</f>
        <v>2</v>
      </c>
      <c r="C85" s="146">
        <f t="shared" si="47"/>
        <v>2</v>
      </c>
      <c r="D85" s="146">
        <f t="shared" si="47"/>
        <v>2</v>
      </c>
      <c r="E85" s="146">
        <f t="shared" si="47"/>
        <v>3</v>
      </c>
      <c r="F85" s="146">
        <f t="shared" si="47"/>
        <v>3</v>
      </c>
      <c r="G85" s="146">
        <f t="shared" si="47"/>
        <v>4</v>
      </c>
      <c r="H85" s="146">
        <f t="shared" si="47"/>
        <v>4</v>
      </c>
      <c r="I85" s="146">
        <f t="shared" si="47"/>
        <v>4</v>
      </c>
      <c r="J85" s="146">
        <f t="shared" si="47"/>
        <v>4</v>
      </c>
      <c r="K85" s="146">
        <f t="shared" si="47"/>
        <v>4</v>
      </c>
      <c r="L85" s="657">
        <f t="shared" si="47"/>
        <v>4</v>
      </c>
      <c r="M85" s="146">
        <f t="shared" si="47"/>
        <v>2</v>
      </c>
      <c r="N85" s="82"/>
      <c r="O85" s="82"/>
      <c r="P85" s="82"/>
      <c r="Q85" s="82"/>
      <c r="R85" s="82"/>
      <c r="S85" s="82"/>
      <c r="T85" s="82"/>
      <c r="U85" s="82"/>
      <c r="V85" s="82"/>
      <c r="W85" s="82"/>
      <c r="X85" s="82"/>
      <c r="Y85" s="82"/>
      <c r="Z85" s="82"/>
      <c r="AA85" s="82"/>
      <c r="AB85" s="82"/>
      <c r="AC85" s="82"/>
      <c r="AD85" s="82"/>
      <c r="AE85" s="82"/>
      <c r="AF85" s="82"/>
      <c r="AG85" s="82"/>
    </row>
    <row r="86" spans="1:33" x14ac:dyDescent="0.2">
      <c r="A86" s="36" t="str">
        <f t="shared" si="22"/>
        <v>≥ TAC Level 3 Aircrewmen</v>
      </c>
      <c r="B86" s="146" t="str">
        <f t="shared" ref="B86:M86" si="48">IF($B135 = "NA","NA",ROUNDUP(IF(B$13="Deploy",MAX((B$104/100)*$B135,$B135),(B$104/100)*$B135),0))</f>
        <v>NA</v>
      </c>
      <c r="C86" s="146" t="str">
        <f t="shared" si="48"/>
        <v>NA</v>
      </c>
      <c r="D86" s="146" t="str">
        <f t="shared" si="48"/>
        <v>NA</v>
      </c>
      <c r="E86" s="146" t="str">
        <f t="shared" si="48"/>
        <v>NA</v>
      </c>
      <c r="F86" s="146" t="str">
        <f t="shared" si="48"/>
        <v>NA</v>
      </c>
      <c r="G86" s="146" t="str">
        <f t="shared" si="48"/>
        <v>NA</v>
      </c>
      <c r="H86" s="146" t="str">
        <f t="shared" si="48"/>
        <v>NA</v>
      </c>
      <c r="I86" s="146" t="str">
        <f t="shared" si="48"/>
        <v>NA</v>
      </c>
      <c r="J86" s="146" t="str">
        <f t="shared" si="48"/>
        <v>NA</v>
      </c>
      <c r="K86" s="146" t="str">
        <f t="shared" si="48"/>
        <v>NA</v>
      </c>
      <c r="L86" s="657" t="str">
        <f t="shared" si="48"/>
        <v>NA</v>
      </c>
      <c r="M86" s="146" t="str">
        <f t="shared" si="48"/>
        <v>NA</v>
      </c>
      <c r="N86" s="82"/>
      <c r="O86" s="82"/>
      <c r="P86" s="82"/>
      <c r="Q86" s="82"/>
      <c r="R86" s="82"/>
      <c r="S86" s="82"/>
      <c r="T86" s="82"/>
      <c r="U86" s="82"/>
      <c r="V86" s="82"/>
      <c r="W86" s="82"/>
      <c r="X86" s="82"/>
      <c r="Y86" s="82"/>
      <c r="Z86" s="82"/>
      <c r="AA86" s="82"/>
      <c r="AB86" s="82"/>
      <c r="AC86" s="82"/>
      <c r="AD86" s="82"/>
      <c r="AE86" s="82"/>
      <c r="AF86" s="82"/>
      <c r="AG86" s="82"/>
    </row>
    <row r="87" spans="1:33" x14ac:dyDescent="0.2">
      <c r="A87" s="36" t="str">
        <f t="shared" si="22"/>
        <v>≥ TAC Level 2 Aircrewmen</v>
      </c>
      <c r="B87" s="146" t="str">
        <f t="shared" ref="B87:M87" si="49">IF($B136 = "NA","NA",ROUNDUP(IF(B$13="Deploy",MAX((B$104/100)*$B136,$B136),(B$104/100)*$B136),0))</f>
        <v>NA</v>
      </c>
      <c r="C87" s="146" t="str">
        <f t="shared" si="49"/>
        <v>NA</v>
      </c>
      <c r="D87" s="146" t="str">
        <f t="shared" si="49"/>
        <v>NA</v>
      </c>
      <c r="E87" s="146" t="str">
        <f t="shared" si="49"/>
        <v>NA</v>
      </c>
      <c r="F87" s="146" t="str">
        <f t="shared" si="49"/>
        <v>NA</v>
      </c>
      <c r="G87" s="146" t="str">
        <f t="shared" si="49"/>
        <v>NA</v>
      </c>
      <c r="H87" s="146" t="str">
        <f t="shared" si="49"/>
        <v>NA</v>
      </c>
      <c r="I87" s="146" t="str">
        <f t="shared" si="49"/>
        <v>NA</v>
      </c>
      <c r="J87" s="146" t="str">
        <f t="shared" si="49"/>
        <v>NA</v>
      </c>
      <c r="K87" s="146" t="str">
        <f t="shared" si="49"/>
        <v>NA</v>
      </c>
      <c r="L87" s="657" t="str">
        <f t="shared" si="49"/>
        <v>NA</v>
      </c>
      <c r="M87" s="146" t="str">
        <f t="shared" si="49"/>
        <v>NA</v>
      </c>
      <c r="N87" s="82"/>
      <c r="O87" s="82"/>
      <c r="P87" s="82"/>
      <c r="Q87" s="82"/>
      <c r="R87" s="82"/>
      <c r="S87" s="82"/>
      <c r="T87" s="82"/>
      <c r="U87" s="82"/>
      <c r="V87" s="82"/>
      <c r="W87" s="82"/>
      <c r="X87" s="82"/>
      <c r="Y87" s="82"/>
      <c r="Z87" s="82"/>
      <c r="AA87" s="82"/>
      <c r="AB87" s="82"/>
      <c r="AC87" s="82"/>
      <c r="AD87" s="82"/>
      <c r="AE87" s="82"/>
      <c r="AF87" s="82"/>
      <c r="AG87" s="82"/>
    </row>
    <row r="88" spans="1:33" x14ac:dyDescent="0.2">
      <c r="A88" s="36" t="str">
        <f t="shared" si="22"/>
        <v>Aerial Gunnery Instructor (AGI) Aircrewmen</v>
      </c>
      <c r="B88" s="146" t="str">
        <f t="shared" ref="B88:M88" si="50">IF($B137 = "NA","NA",ROUNDUP(IF(B$13="Deploy",MAX((B$104/100)*$B137,$B137),(B$104/100)*$B137),0))</f>
        <v>NA</v>
      </c>
      <c r="C88" s="146" t="str">
        <f t="shared" si="50"/>
        <v>NA</v>
      </c>
      <c r="D88" s="146" t="str">
        <f t="shared" si="50"/>
        <v>NA</v>
      </c>
      <c r="E88" s="146" t="str">
        <f t="shared" si="50"/>
        <v>NA</v>
      </c>
      <c r="F88" s="146" t="str">
        <f t="shared" si="50"/>
        <v>NA</v>
      </c>
      <c r="G88" s="146" t="str">
        <f t="shared" si="50"/>
        <v>NA</v>
      </c>
      <c r="H88" s="146" t="str">
        <f t="shared" si="50"/>
        <v>NA</v>
      </c>
      <c r="I88" s="146" t="str">
        <f t="shared" si="50"/>
        <v>NA</v>
      </c>
      <c r="J88" s="146" t="str">
        <f t="shared" si="50"/>
        <v>NA</v>
      </c>
      <c r="K88" s="146" t="str">
        <f t="shared" si="50"/>
        <v>NA</v>
      </c>
      <c r="L88" s="657" t="str">
        <f t="shared" si="50"/>
        <v>NA</v>
      </c>
      <c r="M88" s="146" t="str">
        <f t="shared" si="50"/>
        <v>NA</v>
      </c>
      <c r="N88" s="82"/>
      <c r="O88" s="82"/>
      <c r="P88" s="82"/>
      <c r="Q88" s="82"/>
      <c r="R88" s="82"/>
      <c r="S88" s="82"/>
      <c r="T88" s="82"/>
      <c r="U88" s="82"/>
      <c r="V88" s="82"/>
      <c r="W88" s="82"/>
      <c r="X88" s="82"/>
      <c r="Y88" s="82"/>
      <c r="Z88" s="82"/>
      <c r="AA88" s="82"/>
      <c r="AB88" s="82"/>
      <c r="AC88" s="82"/>
      <c r="AD88" s="82"/>
      <c r="AE88" s="82"/>
      <c r="AF88" s="82"/>
      <c r="AG88" s="82"/>
    </row>
    <row r="89" spans="1:33" x14ac:dyDescent="0.2">
      <c r="A89" s="36" t="str">
        <f t="shared" si="22"/>
        <v>Aerial Gunner (AG) Aircrewmen</v>
      </c>
      <c r="B89" s="146">
        <f t="shared" ref="B89:M89" si="51">IF($B138 = "NA","NA",ROUNDUP(IF(B$13="Deploy",MAX((B$104/100)*$B138,$B138),(B$104/100)*$B138),0))</f>
        <v>2</v>
      </c>
      <c r="C89" s="146">
        <f t="shared" si="51"/>
        <v>2</v>
      </c>
      <c r="D89" s="146">
        <f t="shared" si="51"/>
        <v>2</v>
      </c>
      <c r="E89" s="146">
        <f t="shared" si="51"/>
        <v>3</v>
      </c>
      <c r="F89" s="146">
        <f t="shared" si="51"/>
        <v>3</v>
      </c>
      <c r="G89" s="146">
        <f t="shared" si="51"/>
        <v>4</v>
      </c>
      <c r="H89" s="146">
        <f t="shared" si="51"/>
        <v>4</v>
      </c>
      <c r="I89" s="146">
        <f t="shared" si="51"/>
        <v>4</v>
      </c>
      <c r="J89" s="146">
        <f t="shared" si="51"/>
        <v>4</v>
      </c>
      <c r="K89" s="146">
        <f t="shared" si="51"/>
        <v>4</v>
      </c>
      <c r="L89" s="657">
        <f t="shared" si="51"/>
        <v>4</v>
      </c>
      <c r="M89" s="146">
        <f t="shared" si="51"/>
        <v>2</v>
      </c>
      <c r="N89" s="82"/>
      <c r="O89" s="82"/>
      <c r="P89" s="82"/>
      <c r="Q89" s="82"/>
      <c r="R89" s="82"/>
      <c r="S89" s="82"/>
      <c r="T89" s="82"/>
      <c r="U89" s="82"/>
      <c r="V89" s="82"/>
      <c r="W89" s="82"/>
      <c r="X89" s="82"/>
      <c r="Y89" s="82"/>
      <c r="Z89" s="82"/>
      <c r="AA89" s="82"/>
      <c r="AB89" s="82"/>
      <c r="AC89" s="82"/>
      <c r="AD89" s="82"/>
      <c r="AE89" s="82"/>
      <c r="AF89" s="82"/>
      <c r="AG89" s="82"/>
    </row>
    <row r="90" spans="1:33" x14ac:dyDescent="0.2">
      <c r="A90" s="36" t="str">
        <f t="shared" si="22"/>
        <v>Mountain Flying School Aircrewmen</v>
      </c>
      <c r="B90" s="146" t="str">
        <f t="shared" ref="B90:M90" si="52">IF($B139 = "NA","NA",ROUNDUP(IF(B$13="Deploy",MAX((B$104/100)*$B139,$B139),(B$104/100)*$B139),0))</f>
        <v>NA</v>
      </c>
      <c r="C90" s="146" t="str">
        <f t="shared" si="52"/>
        <v>NA</v>
      </c>
      <c r="D90" s="146" t="str">
        <f t="shared" si="52"/>
        <v>NA</v>
      </c>
      <c r="E90" s="146" t="str">
        <f t="shared" si="52"/>
        <v>NA</v>
      </c>
      <c r="F90" s="146" t="str">
        <f t="shared" si="52"/>
        <v>NA</v>
      </c>
      <c r="G90" s="146" t="str">
        <f t="shared" si="52"/>
        <v>NA</v>
      </c>
      <c r="H90" s="146" t="str">
        <f t="shared" si="52"/>
        <v>NA</v>
      </c>
      <c r="I90" s="146" t="str">
        <f t="shared" si="52"/>
        <v>NA</v>
      </c>
      <c r="J90" s="146" t="str">
        <f t="shared" si="52"/>
        <v>NA</v>
      </c>
      <c r="K90" s="146" t="str">
        <f t="shared" si="52"/>
        <v>NA</v>
      </c>
      <c r="L90" s="657" t="str">
        <f t="shared" si="52"/>
        <v>NA</v>
      </c>
      <c r="M90" s="146" t="str">
        <f t="shared" si="52"/>
        <v>NA</v>
      </c>
      <c r="N90" s="82"/>
      <c r="O90" s="82"/>
      <c r="P90" s="82"/>
      <c r="Q90" s="82"/>
      <c r="R90" s="82"/>
      <c r="S90" s="82"/>
      <c r="T90" s="82"/>
      <c r="U90" s="82"/>
      <c r="V90" s="82"/>
      <c r="W90" s="82"/>
      <c r="X90" s="82"/>
      <c r="Y90" s="82"/>
      <c r="Z90" s="82"/>
      <c r="AA90" s="82"/>
      <c r="AB90" s="82"/>
      <c r="AC90" s="82"/>
      <c r="AD90" s="82"/>
      <c r="AE90" s="82"/>
      <c r="AF90" s="82"/>
      <c r="AG90" s="82"/>
    </row>
    <row r="91" spans="1:33" x14ac:dyDescent="0.2">
      <c r="A91" s="36" t="str">
        <f t="shared" si="22"/>
        <v>≥ HM (Paramedic) Aircrewmen</v>
      </c>
      <c r="B91" s="146" t="str">
        <f t="shared" ref="B91:M91" si="53">IF($B140 = "NA","NA",ROUNDUP(IF(B$13="Deploy",MAX((B$104/100)*$B140,$B140),(B$104/100)*$B140),0))</f>
        <v>NA</v>
      </c>
      <c r="C91" s="146" t="str">
        <f t="shared" si="53"/>
        <v>NA</v>
      </c>
      <c r="D91" s="146" t="str">
        <f t="shared" si="53"/>
        <v>NA</v>
      </c>
      <c r="E91" s="146" t="str">
        <f t="shared" si="53"/>
        <v>NA</v>
      </c>
      <c r="F91" s="146" t="str">
        <f t="shared" si="53"/>
        <v>NA</v>
      </c>
      <c r="G91" s="146" t="str">
        <f t="shared" si="53"/>
        <v>NA</v>
      </c>
      <c r="H91" s="146" t="str">
        <f t="shared" si="53"/>
        <v>NA</v>
      </c>
      <c r="I91" s="146" t="str">
        <f t="shared" si="53"/>
        <v>NA</v>
      </c>
      <c r="J91" s="146" t="str">
        <f t="shared" si="53"/>
        <v>NA</v>
      </c>
      <c r="K91" s="146" t="str">
        <f t="shared" si="53"/>
        <v>NA</v>
      </c>
      <c r="L91" s="657" t="str">
        <f t="shared" si="53"/>
        <v>NA</v>
      </c>
      <c r="M91" s="146" t="str">
        <f t="shared" si="53"/>
        <v>NA</v>
      </c>
      <c r="N91" s="82"/>
      <c r="O91" s="82"/>
      <c r="P91" s="82"/>
      <c r="Q91" s="82"/>
      <c r="R91" s="82"/>
      <c r="S91" s="82"/>
      <c r="T91" s="82"/>
      <c r="U91" s="82"/>
      <c r="V91" s="82"/>
      <c r="W91" s="82"/>
      <c r="X91" s="82"/>
      <c r="Y91" s="82"/>
      <c r="Z91" s="82"/>
      <c r="AA91" s="82"/>
      <c r="AB91" s="82"/>
      <c r="AC91" s="82"/>
      <c r="AD91" s="82"/>
      <c r="AE91" s="82"/>
      <c r="AF91" s="82"/>
      <c r="AG91" s="82"/>
    </row>
    <row r="92" spans="1:33" x14ac:dyDescent="0.2">
      <c r="A92" s="36" t="str">
        <f t="shared" si="22"/>
        <v>Required Skilled Crews</v>
      </c>
      <c r="B92" s="146">
        <f t="shared" ref="B92:M92" si="54">IF($B141 = "NA","NA",ROUNDUP(IF(B$13="Deploy",MAX((B$104/100)*$B141,$B141),(B$104/100)*$B141),0))</f>
        <v>1</v>
      </c>
      <c r="C92" s="146">
        <f t="shared" si="54"/>
        <v>1</v>
      </c>
      <c r="D92" s="146">
        <f t="shared" si="54"/>
        <v>1</v>
      </c>
      <c r="E92" s="146">
        <f t="shared" si="54"/>
        <v>2</v>
      </c>
      <c r="F92" s="146">
        <f t="shared" si="54"/>
        <v>2</v>
      </c>
      <c r="G92" s="146">
        <f t="shared" si="54"/>
        <v>2</v>
      </c>
      <c r="H92" s="146">
        <f t="shared" si="54"/>
        <v>2</v>
      </c>
      <c r="I92" s="146">
        <f t="shared" si="54"/>
        <v>2</v>
      </c>
      <c r="J92" s="146">
        <f t="shared" si="54"/>
        <v>2</v>
      </c>
      <c r="K92" s="146">
        <f t="shared" si="54"/>
        <v>2</v>
      </c>
      <c r="L92" s="657">
        <f t="shared" si="54"/>
        <v>2</v>
      </c>
      <c r="M92" s="146">
        <f t="shared" si="54"/>
        <v>1</v>
      </c>
      <c r="N92" s="82"/>
      <c r="O92" s="82"/>
      <c r="P92" s="82"/>
      <c r="Q92" s="82"/>
      <c r="R92" s="82"/>
      <c r="S92" s="82"/>
      <c r="T92" s="82"/>
      <c r="U92" s="82"/>
      <c r="V92" s="82"/>
      <c r="W92" s="82"/>
      <c r="X92" s="82"/>
      <c r="Y92" s="82"/>
      <c r="Z92" s="82"/>
      <c r="AA92" s="82"/>
      <c r="AB92" s="82"/>
      <c r="AC92" s="82"/>
      <c r="AD92" s="82"/>
      <c r="AE92" s="82"/>
      <c r="AF92" s="82"/>
      <c r="AG92" s="82"/>
    </row>
    <row r="93" spans="1:33" x14ac:dyDescent="0.2">
      <c r="B93" s="68"/>
      <c r="C93" s="68"/>
      <c r="D93" s="68"/>
      <c r="E93" s="68"/>
      <c r="F93" s="68"/>
      <c r="G93" s="68"/>
      <c r="H93" s="68"/>
      <c r="I93" s="68"/>
      <c r="J93" s="68"/>
      <c r="K93" s="68"/>
      <c r="L93" s="68"/>
    </row>
    <row r="94" spans="1:33" x14ac:dyDescent="0.2">
      <c r="B94" s="68"/>
      <c r="C94" s="68"/>
      <c r="D94" s="68"/>
      <c r="E94" s="68"/>
      <c r="F94" s="68"/>
      <c r="G94" s="68"/>
      <c r="H94" s="68"/>
      <c r="I94" s="68"/>
      <c r="J94" s="68"/>
      <c r="K94" s="68"/>
      <c r="L94" s="68"/>
    </row>
    <row r="95" spans="1:33" x14ac:dyDescent="0.2">
      <c r="B95" s="68"/>
      <c r="C95" s="68"/>
      <c r="D95" s="68"/>
      <c r="E95" s="68"/>
      <c r="F95" s="68"/>
      <c r="G95" s="68"/>
      <c r="H95" s="68"/>
      <c r="I95" s="68"/>
      <c r="J95" s="68"/>
      <c r="K95" s="68"/>
      <c r="L95" s="68"/>
    </row>
    <row r="96" spans="1:33" x14ac:dyDescent="0.2">
      <c r="B96" s="68"/>
      <c r="C96" s="68"/>
      <c r="D96" s="68"/>
      <c r="E96" s="68"/>
      <c r="F96" s="68"/>
      <c r="G96" s="68"/>
      <c r="H96" s="68"/>
      <c r="I96" s="68"/>
      <c r="J96" s="68"/>
      <c r="K96" s="68"/>
      <c r="L96" s="68"/>
    </row>
    <row r="97" spans="1:49" ht="12.75" thickBot="1" x14ac:dyDescent="0.25">
      <c r="B97" s="68"/>
      <c r="C97" s="68"/>
      <c r="D97" s="68"/>
      <c r="E97" s="68"/>
      <c r="F97" s="68"/>
      <c r="G97" s="68"/>
      <c r="H97" s="68"/>
      <c r="I97" s="68"/>
      <c r="J97" s="68"/>
      <c r="K97" s="68"/>
      <c r="L97" s="68"/>
    </row>
    <row r="98" spans="1:49" ht="13.5" customHeight="1" thickBot="1" x14ac:dyDescent="0.25">
      <c r="A98" s="773" t="s">
        <v>170</v>
      </c>
      <c r="B98" s="774"/>
      <c r="C98" s="774"/>
      <c r="D98" s="774"/>
      <c r="E98" s="774"/>
      <c r="F98" s="774"/>
      <c r="G98" s="774"/>
      <c r="H98" s="774"/>
      <c r="I98" s="774"/>
      <c r="J98" s="774"/>
      <c r="K98" s="774"/>
      <c r="L98" s="774"/>
      <c r="M98" s="775"/>
      <c r="N98" s="448"/>
      <c r="O98" s="448"/>
      <c r="P98" s="448"/>
      <c r="Q98" s="448"/>
      <c r="R98" s="448"/>
      <c r="S98" s="448"/>
      <c r="T98" s="448"/>
      <c r="U98" s="448"/>
      <c r="V98" s="448"/>
      <c r="W98" s="448"/>
      <c r="X98" s="448"/>
      <c r="Y98" s="448"/>
      <c r="Z98" s="448"/>
      <c r="AA98" s="448"/>
      <c r="AB98" s="448"/>
      <c r="AC98" s="448"/>
      <c r="AD98" s="448"/>
      <c r="AE98" s="448"/>
      <c r="AF98" s="448"/>
      <c r="AG98" s="448"/>
      <c r="AH98" s="107"/>
      <c r="AI98" s="107"/>
      <c r="AJ98" s="107"/>
    </row>
    <row r="99" spans="1:49" x14ac:dyDescent="0.2">
      <c r="A99" s="148" t="s">
        <v>171</v>
      </c>
      <c r="B99" s="158">
        <f t="shared" ref="B99:L99" si="55">MIN(100,B101+$B$105)</f>
        <v>48.246363244604716</v>
      </c>
      <c r="C99" s="158">
        <f t="shared" si="55"/>
        <v>48.246363244604716</v>
      </c>
      <c r="D99" s="158">
        <f t="shared" si="55"/>
        <v>48.246363244604716</v>
      </c>
      <c r="E99" s="158">
        <f t="shared" si="55"/>
        <v>63.246363244604716</v>
      </c>
      <c r="F99" s="158">
        <f t="shared" si="55"/>
        <v>85.246363244604709</v>
      </c>
      <c r="G99" s="158">
        <f t="shared" si="55"/>
        <v>100</v>
      </c>
      <c r="H99" s="158">
        <f t="shared" si="55"/>
        <v>100</v>
      </c>
      <c r="I99" s="158">
        <f t="shared" si="55"/>
        <v>100</v>
      </c>
      <c r="J99" s="158">
        <f t="shared" si="55"/>
        <v>100</v>
      </c>
      <c r="K99" s="158">
        <f t="shared" si="55"/>
        <v>100</v>
      </c>
      <c r="L99" s="158">
        <f t="shared" si="55"/>
        <v>100</v>
      </c>
      <c r="M99" s="149">
        <f>MIN(100,M101+$B105)</f>
        <v>73.246363244604709</v>
      </c>
      <c r="N99" s="449"/>
      <c r="O99" s="449"/>
      <c r="P99" s="449"/>
      <c r="Q99" s="449"/>
      <c r="R99" s="449"/>
      <c r="S99" s="449"/>
      <c r="T99" s="449"/>
      <c r="U99" s="449"/>
      <c r="V99" s="449"/>
      <c r="W99" s="449"/>
      <c r="X99" s="449"/>
      <c r="Y99" s="449"/>
      <c r="Z99" s="449"/>
      <c r="AA99" s="449"/>
      <c r="AB99" s="449"/>
      <c r="AC99" s="449"/>
      <c r="AD99" s="449"/>
      <c r="AE99" s="449"/>
      <c r="AF99" s="449"/>
      <c r="AG99" s="449"/>
      <c r="AH99" s="108"/>
      <c r="AI99" s="108"/>
      <c r="AJ99" s="108"/>
    </row>
    <row r="100" spans="1:49" x14ac:dyDescent="0.2">
      <c r="A100" s="54" t="s">
        <v>172</v>
      </c>
      <c r="B100" s="101">
        <f t="shared" ref="B100:L100" si="56">MIN(100,B101+$B$106)</f>
        <v>20</v>
      </c>
      <c r="C100" s="101">
        <f t="shared" si="56"/>
        <v>20</v>
      </c>
      <c r="D100" s="101">
        <f t="shared" si="56"/>
        <v>20</v>
      </c>
      <c r="E100" s="101">
        <f t="shared" si="56"/>
        <v>35</v>
      </c>
      <c r="F100" s="101">
        <f t="shared" si="56"/>
        <v>57</v>
      </c>
      <c r="G100" s="101">
        <f t="shared" si="56"/>
        <v>100</v>
      </c>
      <c r="H100" s="101">
        <f t="shared" si="56"/>
        <v>100</v>
      </c>
      <c r="I100" s="101">
        <f t="shared" si="56"/>
        <v>100</v>
      </c>
      <c r="J100" s="101">
        <f t="shared" si="56"/>
        <v>100</v>
      </c>
      <c r="K100" s="101">
        <f t="shared" si="56"/>
        <v>100</v>
      </c>
      <c r="L100" s="101">
        <f t="shared" si="56"/>
        <v>100</v>
      </c>
      <c r="M100" s="56">
        <f>MIN(100,M101+$B106)</f>
        <v>45</v>
      </c>
      <c r="N100" s="449"/>
      <c r="O100" s="449"/>
      <c r="P100" s="449"/>
      <c r="Q100" s="449"/>
      <c r="R100" s="449"/>
      <c r="S100" s="449"/>
      <c r="T100" s="449"/>
      <c r="U100" s="449"/>
      <c r="V100" s="449"/>
      <c r="W100" s="449"/>
      <c r="X100" s="449"/>
      <c r="Y100" s="449"/>
      <c r="Z100" s="449"/>
      <c r="AA100" s="449"/>
      <c r="AB100" s="449"/>
      <c r="AC100" s="449"/>
      <c r="AD100" s="449"/>
      <c r="AE100" s="449"/>
      <c r="AF100" s="449"/>
      <c r="AG100" s="449"/>
      <c r="AH100" s="108"/>
      <c r="AI100" s="108"/>
      <c r="AJ100" s="108"/>
    </row>
    <row r="101" spans="1:49" x14ac:dyDescent="0.2">
      <c r="A101" s="54" t="s">
        <v>173</v>
      </c>
      <c r="B101" s="102">
        <v>5</v>
      </c>
      <c r="C101" s="102">
        <v>5</v>
      </c>
      <c r="D101" s="437">
        <v>5</v>
      </c>
      <c r="E101" s="437">
        <v>20</v>
      </c>
      <c r="F101" s="437">
        <v>42</v>
      </c>
      <c r="G101" s="437">
        <v>100</v>
      </c>
      <c r="H101" s="437">
        <v>100</v>
      </c>
      <c r="I101" s="437">
        <v>100</v>
      </c>
      <c r="J101" s="437">
        <v>100</v>
      </c>
      <c r="K101" s="437">
        <v>100</v>
      </c>
      <c r="L101" s="437">
        <v>100</v>
      </c>
      <c r="M101" s="70">
        <v>30</v>
      </c>
      <c r="N101" s="450"/>
      <c r="O101" s="450"/>
      <c r="P101" s="450"/>
      <c r="Q101" s="450"/>
      <c r="R101" s="450"/>
      <c r="S101" s="450"/>
      <c r="T101" s="450"/>
      <c r="U101" s="450"/>
      <c r="V101" s="450"/>
      <c r="W101" s="450"/>
      <c r="X101" s="450"/>
      <c r="Y101" s="450"/>
      <c r="Z101" s="450"/>
      <c r="AA101" s="450"/>
      <c r="AB101" s="450"/>
      <c r="AC101" s="450"/>
      <c r="AD101" s="450"/>
      <c r="AE101" s="450"/>
      <c r="AF101" s="450"/>
      <c r="AG101" s="450"/>
      <c r="AH101" s="109"/>
      <c r="AI101" s="109"/>
      <c r="AJ101" s="109"/>
      <c r="AK101" s="100"/>
      <c r="AL101" s="100"/>
      <c r="AM101" s="100"/>
      <c r="AN101" s="100"/>
      <c r="AO101" s="100"/>
      <c r="AP101" s="100"/>
    </row>
    <row r="102" spans="1:49" s="72" customFormat="1" x14ac:dyDescent="0.2">
      <c r="A102" s="54" t="s">
        <v>174</v>
      </c>
      <c r="B102" s="101">
        <f t="shared" ref="B102:L102" si="57">MIN(80,IF(B13="Deploy",80,MAX(0,B101-$B$106)))</f>
        <v>0</v>
      </c>
      <c r="C102" s="101">
        <f t="shared" si="57"/>
        <v>0</v>
      </c>
      <c r="D102" s="101">
        <f t="shared" si="57"/>
        <v>0</v>
      </c>
      <c r="E102" s="101">
        <f t="shared" si="57"/>
        <v>5</v>
      </c>
      <c r="F102" s="101">
        <f t="shared" si="57"/>
        <v>27</v>
      </c>
      <c r="G102" s="101">
        <f t="shared" si="57"/>
        <v>80</v>
      </c>
      <c r="H102" s="101">
        <f t="shared" si="57"/>
        <v>80</v>
      </c>
      <c r="I102" s="101">
        <f t="shared" si="57"/>
        <v>80</v>
      </c>
      <c r="J102" s="101">
        <f t="shared" si="57"/>
        <v>80</v>
      </c>
      <c r="K102" s="101">
        <f t="shared" si="57"/>
        <v>80</v>
      </c>
      <c r="L102" s="101">
        <f t="shared" si="57"/>
        <v>80</v>
      </c>
      <c r="M102" s="56">
        <f>MIN(80,IF(M$13="Deploy",80,MAX(0,M101-$B106)))</f>
        <v>15</v>
      </c>
      <c r="N102" s="449"/>
      <c r="O102" s="449"/>
      <c r="P102" s="449"/>
      <c r="Q102" s="449"/>
      <c r="R102" s="449"/>
      <c r="S102" s="449"/>
      <c r="T102" s="449"/>
      <c r="U102" s="449"/>
      <c r="V102" s="449"/>
      <c r="W102" s="449"/>
      <c r="X102" s="449"/>
      <c r="Y102" s="449"/>
      <c r="Z102" s="449"/>
      <c r="AA102" s="449"/>
      <c r="AB102" s="449"/>
      <c r="AC102" s="449"/>
      <c r="AD102" s="449"/>
      <c r="AE102" s="449"/>
      <c r="AF102" s="449"/>
      <c r="AG102" s="449"/>
      <c r="AH102" s="108"/>
      <c r="AI102" s="108"/>
      <c r="AJ102" s="108"/>
      <c r="AK102" s="28"/>
      <c r="AL102" s="28"/>
      <c r="AM102" s="28"/>
      <c r="AN102" s="28"/>
      <c r="AO102" s="28"/>
      <c r="AP102" s="28"/>
      <c r="AQ102" s="28"/>
      <c r="AR102" s="28"/>
      <c r="AS102" s="28"/>
      <c r="AT102" s="28"/>
      <c r="AU102" s="28"/>
      <c r="AV102" s="28"/>
      <c r="AW102" s="28"/>
    </row>
    <row r="103" spans="1:49" s="72" customFormat="1" ht="12.75" thickBot="1" x14ac:dyDescent="0.25">
      <c r="A103" s="57" t="s">
        <v>175</v>
      </c>
      <c r="B103" s="103">
        <f t="shared" ref="B103:L103" si="58">MIN(60,IF(B13="Deploy",60,MAX(0,B101-$B$105)))</f>
        <v>0</v>
      </c>
      <c r="C103" s="103">
        <f t="shared" si="58"/>
        <v>0</v>
      </c>
      <c r="D103" s="103">
        <f t="shared" si="58"/>
        <v>0</v>
      </c>
      <c r="E103" s="103">
        <f t="shared" si="58"/>
        <v>0</v>
      </c>
      <c r="F103" s="103">
        <f t="shared" si="58"/>
        <v>0</v>
      </c>
      <c r="G103" s="103">
        <f t="shared" si="58"/>
        <v>60</v>
      </c>
      <c r="H103" s="103">
        <f t="shared" si="58"/>
        <v>60</v>
      </c>
      <c r="I103" s="103">
        <f t="shared" si="58"/>
        <v>60</v>
      </c>
      <c r="J103" s="103">
        <f t="shared" si="58"/>
        <v>60</v>
      </c>
      <c r="K103" s="103">
        <f t="shared" si="58"/>
        <v>60</v>
      </c>
      <c r="L103" s="103">
        <f t="shared" si="58"/>
        <v>60</v>
      </c>
      <c r="M103" s="59">
        <f>MIN(80,IF(M$13="Deploy",60,MAX(0,M101-$B105)))</f>
        <v>0</v>
      </c>
      <c r="N103" s="449"/>
      <c r="O103" s="449"/>
      <c r="P103" s="449"/>
      <c r="Q103" s="449"/>
      <c r="R103" s="449"/>
      <c r="S103" s="449"/>
      <c r="T103" s="449"/>
      <c r="U103" s="449"/>
      <c r="V103" s="449"/>
      <c r="W103" s="449"/>
      <c r="X103" s="449"/>
      <c r="Y103" s="449"/>
      <c r="Z103" s="449"/>
      <c r="AA103" s="449"/>
      <c r="AB103" s="449"/>
      <c r="AC103" s="449"/>
      <c r="AD103" s="449"/>
      <c r="AE103" s="449"/>
      <c r="AF103" s="449"/>
      <c r="AG103" s="449"/>
      <c r="AH103" s="108"/>
      <c r="AI103" s="108"/>
      <c r="AJ103" s="108"/>
      <c r="AK103" s="28"/>
      <c r="AL103" s="28"/>
      <c r="AM103" s="28"/>
      <c r="AN103" s="28"/>
      <c r="AO103" s="28"/>
      <c r="AP103" s="28"/>
      <c r="AQ103" s="28"/>
      <c r="AR103" s="28"/>
      <c r="AS103" s="28"/>
      <c r="AT103" s="28"/>
      <c r="AU103" s="28"/>
      <c r="AV103" s="28"/>
      <c r="AW103" s="28"/>
    </row>
    <row r="104" spans="1:49" s="72" customFormat="1" ht="12.75" thickBot="1" x14ac:dyDescent="0.25">
      <c r="A104" s="219" t="s">
        <v>176</v>
      </c>
      <c r="B104" s="220">
        <v>37</v>
      </c>
      <c r="C104" s="220">
        <v>37</v>
      </c>
      <c r="D104" s="221">
        <v>46</v>
      </c>
      <c r="E104" s="221">
        <v>54</v>
      </c>
      <c r="F104" s="221">
        <v>61</v>
      </c>
      <c r="G104" s="221">
        <v>100</v>
      </c>
      <c r="H104" s="221">
        <v>100</v>
      </c>
      <c r="I104" s="221">
        <v>100</v>
      </c>
      <c r="J104" s="221">
        <v>100</v>
      </c>
      <c r="K104" s="221">
        <v>100</v>
      </c>
      <c r="L104" s="221">
        <v>100</v>
      </c>
      <c r="M104" s="222">
        <v>30</v>
      </c>
      <c r="N104" s="450"/>
      <c r="O104" s="450"/>
      <c r="P104" s="450"/>
      <c r="Q104" s="450"/>
      <c r="R104" s="450"/>
      <c r="S104" s="450"/>
      <c r="T104" s="450"/>
      <c r="U104" s="450"/>
      <c r="V104" s="450"/>
      <c r="W104" s="450"/>
      <c r="X104" s="450"/>
      <c r="Y104" s="450"/>
      <c r="Z104" s="450"/>
      <c r="AA104" s="450"/>
      <c r="AB104" s="450"/>
      <c r="AC104" s="450"/>
      <c r="AD104" s="450"/>
      <c r="AE104" s="450"/>
      <c r="AF104" s="450"/>
      <c r="AG104" s="450"/>
      <c r="AH104" s="108"/>
      <c r="AI104" s="108"/>
      <c r="AJ104" s="108"/>
      <c r="AK104" s="28"/>
      <c r="AL104" s="28"/>
      <c r="AM104" s="28"/>
      <c r="AN104" s="28"/>
      <c r="AO104" s="28"/>
      <c r="AP104" s="28"/>
      <c r="AQ104" s="28"/>
      <c r="AR104" s="28"/>
      <c r="AS104" s="28"/>
      <c r="AT104" s="28"/>
      <c r="AU104" s="28"/>
      <c r="AV104" s="28"/>
      <c r="AW104" s="28"/>
    </row>
    <row r="105" spans="1:49" s="72" customFormat="1" x14ac:dyDescent="0.2">
      <c r="A105" s="78" t="s">
        <v>177</v>
      </c>
      <c r="B105" s="104">
        <f t="array" ref="B105">SQRT(SUM(POWER(AVERAGE(B101:L101)-(B101:L101),2))/COUNT(B101:L101))*1</f>
        <v>43.246363244604716</v>
      </c>
      <c r="C105" s="105"/>
      <c r="D105" s="105"/>
      <c r="E105" s="105"/>
      <c r="F105" s="105"/>
      <c r="G105" s="105"/>
      <c r="H105" s="105"/>
      <c r="I105" s="105"/>
      <c r="J105" s="105"/>
      <c r="K105" s="105"/>
      <c r="L105" s="105"/>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K105" s="28"/>
      <c r="AP105" s="61"/>
    </row>
    <row r="106" spans="1:49" s="72" customFormat="1" ht="12.75" thickBot="1" x14ac:dyDescent="0.25">
      <c r="A106" s="80" t="s">
        <v>178</v>
      </c>
      <c r="B106" s="106">
        <v>15</v>
      </c>
      <c r="C106" s="105"/>
      <c r="D106" s="105"/>
      <c r="E106" s="105"/>
      <c r="F106" s="105"/>
      <c r="G106" s="105"/>
      <c r="H106" s="105"/>
      <c r="I106" s="105"/>
      <c r="J106" s="105"/>
      <c r="K106" s="105"/>
      <c r="L106" s="105"/>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L106" s="28"/>
      <c r="AP106" s="61"/>
    </row>
    <row r="107" spans="1:49" s="72" customFormat="1" ht="12.75" thickBot="1" x14ac:dyDescent="0.2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L107" s="61"/>
    </row>
    <row r="108" spans="1:49" s="72" customFormat="1" ht="12.75" thickBot="1" x14ac:dyDescent="0.25">
      <c r="A108" s="776" t="s">
        <v>179</v>
      </c>
      <c r="B108" s="777"/>
      <c r="C108" s="28"/>
      <c r="D108" s="28"/>
      <c r="E108" s="28"/>
      <c r="F108" s="28"/>
      <c r="G108" s="28"/>
      <c r="H108" s="28"/>
      <c r="I108" s="28"/>
      <c r="J108" s="28"/>
      <c r="K108" s="28"/>
      <c r="L108" s="28"/>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L108" s="61"/>
    </row>
    <row r="109" spans="1:49" s="72" customFormat="1" ht="12.75" thickBot="1" x14ac:dyDescent="0.25">
      <c r="A109" s="782" t="s">
        <v>180</v>
      </c>
      <c r="B109" s="783"/>
      <c r="C109" s="28"/>
      <c r="D109" s="28"/>
      <c r="E109" s="28"/>
      <c r="F109" s="28"/>
      <c r="G109" s="28"/>
      <c r="H109" s="28"/>
      <c r="I109" s="28"/>
      <c r="J109" s="28"/>
      <c r="K109" s="28"/>
      <c r="L109" s="28"/>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L109" s="28"/>
    </row>
    <row r="110" spans="1:49" s="72" customFormat="1" ht="12.75" thickTop="1" x14ac:dyDescent="0.2">
      <c r="A110" s="281" t="s">
        <v>181</v>
      </c>
      <c r="B110" s="119">
        <v>4</v>
      </c>
      <c r="C110" s="28"/>
      <c r="D110" s="469"/>
      <c r="E110" s="469"/>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L110" s="61"/>
    </row>
    <row r="111" spans="1:49" s="72" customFormat="1" x14ac:dyDescent="0.2">
      <c r="A111" s="282" t="s">
        <v>182</v>
      </c>
      <c r="B111" s="91">
        <v>4</v>
      </c>
      <c r="C111" s="28"/>
      <c r="D111" s="469"/>
      <c r="E111" s="469"/>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L111" s="61"/>
    </row>
    <row r="112" spans="1:49" s="72" customFormat="1" x14ac:dyDescent="0.2">
      <c r="A112" s="282" t="s">
        <v>183</v>
      </c>
      <c r="B112" s="89" t="s">
        <v>193</v>
      </c>
      <c r="C112" s="28"/>
      <c r="D112" s="469"/>
      <c r="E112" s="469"/>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L112" s="61"/>
    </row>
    <row r="113" spans="1:44" s="72" customFormat="1" x14ac:dyDescent="0.2">
      <c r="A113" s="282" t="s">
        <v>184</v>
      </c>
      <c r="B113" s="89" t="s">
        <v>193</v>
      </c>
      <c r="C113" s="28"/>
      <c r="D113" s="469"/>
      <c r="E113" s="469"/>
      <c r="F113" s="28"/>
      <c r="G113" s="28"/>
      <c r="H113" s="28"/>
      <c r="I113" s="28"/>
      <c r="J113" s="28"/>
      <c r="K113" s="28"/>
      <c r="L113" s="28"/>
      <c r="M113" s="64"/>
      <c r="N113" s="64"/>
      <c r="O113" s="64"/>
      <c r="P113" s="64"/>
      <c r="Q113" s="64"/>
      <c r="R113" s="64"/>
      <c r="S113" s="64"/>
      <c r="T113" s="64"/>
      <c r="U113" s="64"/>
      <c r="V113" s="64"/>
      <c r="W113" s="64"/>
      <c r="X113" s="64"/>
      <c r="Y113" s="64"/>
      <c r="Z113" s="64"/>
      <c r="AA113" s="64"/>
      <c r="AB113" s="64"/>
      <c r="AC113" s="64"/>
      <c r="AD113" s="64"/>
      <c r="AE113" s="64"/>
      <c r="AF113" s="64"/>
      <c r="AG113" s="64"/>
      <c r="AH113" s="61"/>
      <c r="AL113" s="28"/>
      <c r="AP113" s="61"/>
    </row>
    <row r="114" spans="1:44" s="72" customFormat="1" x14ac:dyDescent="0.2">
      <c r="A114" s="282" t="s">
        <v>185</v>
      </c>
      <c r="B114" s="89">
        <v>1</v>
      </c>
      <c r="C114" s="28"/>
      <c r="D114" s="469"/>
      <c r="E114" s="469"/>
      <c r="F114" s="28"/>
      <c r="G114" s="28"/>
      <c r="H114" s="28"/>
      <c r="I114" s="28"/>
      <c r="J114" s="28"/>
      <c r="K114" s="28"/>
      <c r="L114" s="28"/>
      <c r="M114" s="75"/>
      <c r="N114" s="75"/>
      <c r="O114" s="75"/>
      <c r="P114" s="75"/>
      <c r="Q114" s="75"/>
      <c r="R114" s="75"/>
      <c r="S114" s="75"/>
      <c r="T114" s="75"/>
      <c r="U114" s="75"/>
      <c r="V114" s="75"/>
      <c r="W114" s="75"/>
      <c r="X114" s="75"/>
      <c r="Y114" s="75"/>
      <c r="Z114" s="75"/>
      <c r="AA114" s="75"/>
      <c r="AB114" s="75"/>
      <c r="AC114" s="75"/>
      <c r="AD114" s="75"/>
      <c r="AE114" s="75"/>
      <c r="AF114" s="75"/>
      <c r="AG114" s="75"/>
      <c r="AH114" s="61"/>
      <c r="AL114" s="61"/>
      <c r="AP114" s="61"/>
    </row>
    <row r="115" spans="1:44" s="72" customFormat="1" x14ac:dyDescent="0.2">
      <c r="A115" s="282" t="s">
        <v>186</v>
      </c>
      <c r="B115" s="89">
        <v>2</v>
      </c>
      <c r="C115" s="28"/>
      <c r="D115" s="469"/>
      <c r="E115" s="469"/>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L115" s="61"/>
    </row>
    <row r="116" spans="1:44" s="72" customFormat="1" x14ac:dyDescent="0.2">
      <c r="A116" s="282" t="s">
        <v>187</v>
      </c>
      <c r="B116" s="89">
        <v>4</v>
      </c>
      <c r="C116" s="28"/>
      <c r="D116" s="469"/>
      <c r="E116" s="469"/>
      <c r="F116" s="28"/>
      <c r="G116" s="28"/>
      <c r="H116" s="28"/>
      <c r="I116" s="28"/>
      <c r="J116" s="28"/>
      <c r="K116" s="28"/>
      <c r="L116" s="28"/>
      <c r="M116" s="60"/>
      <c r="N116" s="60"/>
      <c r="O116" s="60"/>
      <c r="P116" s="60"/>
      <c r="Q116" s="60"/>
      <c r="R116" s="60"/>
      <c r="S116" s="60"/>
      <c r="T116" s="60"/>
      <c r="U116" s="60"/>
      <c r="V116" s="60"/>
      <c r="W116" s="60"/>
      <c r="X116" s="60"/>
      <c r="Y116" s="60"/>
      <c r="Z116" s="60"/>
      <c r="AA116" s="60"/>
      <c r="AB116" s="60"/>
      <c r="AC116" s="60"/>
      <c r="AD116" s="60"/>
      <c r="AE116" s="60"/>
      <c r="AF116" s="60"/>
      <c r="AG116" s="60"/>
      <c r="AH116" s="61"/>
      <c r="AL116" s="61"/>
    </row>
    <row r="117" spans="1:44" s="72" customFormat="1" x14ac:dyDescent="0.2">
      <c r="A117" s="282" t="s">
        <v>188</v>
      </c>
      <c r="B117" s="89" t="s">
        <v>193</v>
      </c>
      <c r="C117" s="28"/>
      <c r="D117" s="469"/>
      <c r="E117" s="469"/>
      <c r="F117" s="28"/>
      <c r="G117" s="28"/>
      <c r="H117" s="28"/>
      <c r="I117" s="28"/>
      <c r="J117" s="28"/>
      <c r="K117" s="28"/>
      <c r="L117" s="28"/>
      <c r="M117" s="75"/>
      <c r="N117" s="75"/>
      <c r="O117" s="75"/>
      <c r="P117" s="75"/>
      <c r="Q117" s="75"/>
      <c r="R117" s="75"/>
      <c r="S117" s="75"/>
      <c r="T117" s="75"/>
      <c r="U117" s="75"/>
      <c r="V117" s="75"/>
      <c r="W117" s="75"/>
      <c r="X117" s="75"/>
      <c r="Y117" s="75"/>
      <c r="Z117" s="75"/>
      <c r="AA117" s="75"/>
      <c r="AB117" s="75"/>
      <c r="AC117" s="75"/>
      <c r="AD117" s="75"/>
      <c r="AE117" s="75"/>
      <c r="AF117" s="75"/>
      <c r="AG117" s="75"/>
      <c r="AH117" s="61"/>
      <c r="AL117" s="28"/>
    </row>
    <row r="118" spans="1:44" s="72" customFormat="1" x14ac:dyDescent="0.2">
      <c r="A118" s="282" t="s">
        <v>189</v>
      </c>
      <c r="B118" s="89" t="s">
        <v>193</v>
      </c>
      <c r="C118" s="28"/>
      <c r="D118" s="469"/>
      <c r="E118" s="469"/>
      <c r="F118" s="28"/>
      <c r="G118" s="28"/>
      <c r="H118" s="28"/>
      <c r="I118" s="28"/>
      <c r="J118" s="28"/>
      <c r="K118" s="28"/>
      <c r="L118" s="28"/>
      <c r="M118" s="75"/>
      <c r="N118" s="75"/>
      <c r="O118" s="75"/>
      <c r="P118" s="75"/>
      <c r="Q118" s="75"/>
      <c r="R118" s="75"/>
      <c r="S118" s="75"/>
      <c r="T118" s="75"/>
      <c r="U118" s="75"/>
      <c r="V118" s="75"/>
      <c r="W118" s="75"/>
      <c r="X118" s="75"/>
      <c r="Y118" s="75"/>
      <c r="Z118" s="75"/>
      <c r="AA118" s="75"/>
      <c r="AB118" s="75"/>
      <c r="AC118" s="75"/>
      <c r="AD118" s="75"/>
      <c r="AE118" s="75"/>
      <c r="AF118" s="75"/>
      <c r="AG118" s="75"/>
      <c r="AH118" s="61"/>
      <c r="AL118" s="28"/>
    </row>
    <row r="119" spans="1:44" s="72" customFormat="1" x14ac:dyDescent="0.2">
      <c r="A119" s="282" t="s">
        <v>190</v>
      </c>
      <c r="B119" s="89" t="s">
        <v>193</v>
      </c>
      <c r="C119" s="28"/>
      <c r="D119" s="469"/>
      <c r="E119" s="469"/>
      <c r="F119" s="28"/>
      <c r="G119" s="28"/>
      <c r="H119" s="28"/>
      <c r="I119" s="28"/>
      <c r="J119" s="28"/>
      <c r="K119" s="28"/>
      <c r="L119" s="28"/>
      <c r="M119" s="63"/>
      <c r="N119" s="63"/>
      <c r="O119" s="63"/>
      <c r="P119" s="63"/>
      <c r="Q119" s="63"/>
      <c r="R119" s="63"/>
      <c r="S119" s="63"/>
      <c r="T119" s="63"/>
      <c r="U119" s="63"/>
      <c r="V119" s="63"/>
      <c r="W119" s="63"/>
      <c r="X119" s="63"/>
      <c r="Y119" s="63"/>
      <c r="Z119" s="63"/>
      <c r="AA119" s="63"/>
      <c r="AB119" s="63"/>
      <c r="AC119" s="63"/>
      <c r="AD119" s="63"/>
      <c r="AE119" s="63"/>
      <c r="AF119" s="63"/>
      <c r="AG119" s="63"/>
      <c r="AH119" s="61"/>
      <c r="AL119" s="28"/>
      <c r="AP119" s="61"/>
    </row>
    <row r="120" spans="1:44" s="72" customFormat="1" x14ac:dyDescent="0.2">
      <c r="A120" s="282" t="s">
        <v>191</v>
      </c>
      <c r="B120" s="89" t="s">
        <v>193</v>
      </c>
      <c r="C120" s="28"/>
      <c r="D120" s="469"/>
      <c r="E120" s="469"/>
      <c r="F120" s="28"/>
      <c r="G120" s="28"/>
      <c r="H120" s="28"/>
      <c r="I120" s="28"/>
      <c r="J120" s="28"/>
      <c r="K120" s="28"/>
      <c r="L120" s="28"/>
      <c r="M120" s="60"/>
      <c r="N120" s="60"/>
      <c r="O120" s="60"/>
      <c r="P120" s="60"/>
      <c r="Q120" s="60"/>
      <c r="R120" s="60"/>
      <c r="S120" s="60"/>
      <c r="T120" s="60"/>
      <c r="U120" s="60"/>
      <c r="V120" s="60"/>
      <c r="W120" s="60"/>
      <c r="X120" s="60"/>
      <c r="Y120" s="60"/>
      <c r="Z120" s="60"/>
      <c r="AA120" s="60"/>
      <c r="AB120" s="60"/>
      <c r="AC120" s="60"/>
      <c r="AD120" s="60"/>
      <c r="AE120" s="60"/>
      <c r="AF120" s="60"/>
      <c r="AG120" s="60"/>
      <c r="AH120" s="61"/>
      <c r="AL120" s="28"/>
    </row>
    <row r="121" spans="1:44" s="72" customFormat="1" x14ac:dyDescent="0.2">
      <c r="A121" s="282" t="s">
        <v>192</v>
      </c>
      <c r="B121" s="89">
        <v>2</v>
      </c>
      <c r="C121" s="28"/>
      <c r="D121" s="469"/>
      <c r="E121" s="469"/>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L121" s="28"/>
    </row>
    <row r="122" spans="1:44" s="72" customFormat="1" x14ac:dyDescent="0.2">
      <c r="A122" s="282" t="s">
        <v>194</v>
      </c>
      <c r="B122" s="89">
        <v>4</v>
      </c>
      <c r="C122" s="28"/>
      <c r="D122" s="469"/>
      <c r="E122" s="469"/>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L122" s="28"/>
    </row>
    <row r="123" spans="1:44" s="72" customFormat="1" x14ac:dyDescent="0.2">
      <c r="A123" s="282" t="s">
        <v>195</v>
      </c>
      <c r="B123" s="89" t="s">
        <v>193</v>
      </c>
      <c r="C123" s="28"/>
      <c r="D123" s="469"/>
      <c r="E123" s="469"/>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K123" s="61"/>
      <c r="AL123" s="62"/>
      <c r="AM123" s="62"/>
      <c r="AN123" s="62"/>
      <c r="AO123" s="62"/>
      <c r="AQ123" s="62"/>
      <c r="AR123" s="62"/>
    </row>
    <row r="124" spans="1:44" s="72" customFormat="1" x14ac:dyDescent="0.2">
      <c r="A124" s="282" t="s">
        <v>196</v>
      </c>
      <c r="B124" s="89" t="s">
        <v>193</v>
      </c>
      <c r="C124" s="28"/>
      <c r="D124" s="469"/>
      <c r="E124" s="469"/>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K124" s="61"/>
      <c r="AL124" s="62"/>
      <c r="AM124" s="62"/>
      <c r="AN124" s="62"/>
      <c r="AO124" s="62"/>
      <c r="AQ124" s="62"/>
      <c r="AR124" s="62"/>
    </row>
    <row r="125" spans="1:44" s="72" customFormat="1" x14ac:dyDescent="0.2">
      <c r="A125" s="282" t="s">
        <v>197</v>
      </c>
      <c r="B125" s="89" t="s">
        <v>193</v>
      </c>
      <c r="D125" s="469"/>
      <c r="E125" s="469"/>
      <c r="M125" s="60"/>
      <c r="N125" s="60"/>
      <c r="O125" s="60"/>
      <c r="P125" s="60"/>
      <c r="Q125" s="60"/>
      <c r="R125" s="60"/>
      <c r="S125" s="60"/>
      <c r="T125" s="60"/>
      <c r="U125" s="60"/>
      <c r="V125" s="60"/>
      <c r="W125" s="60"/>
      <c r="X125" s="60"/>
      <c r="Y125" s="60"/>
      <c r="Z125" s="60"/>
      <c r="AA125" s="60"/>
      <c r="AB125" s="60"/>
      <c r="AC125" s="60"/>
      <c r="AD125" s="60"/>
      <c r="AE125" s="60"/>
      <c r="AF125" s="60"/>
      <c r="AG125" s="60"/>
      <c r="AH125" s="61"/>
      <c r="AK125" s="61"/>
      <c r="AL125" s="62"/>
      <c r="AM125" s="62"/>
      <c r="AN125" s="62"/>
      <c r="AO125" s="62"/>
      <c r="AP125" s="62"/>
      <c r="AQ125" s="62"/>
      <c r="AR125" s="62"/>
    </row>
    <row r="126" spans="1:44" s="72" customFormat="1" x14ac:dyDescent="0.2">
      <c r="A126" s="282" t="s">
        <v>198</v>
      </c>
      <c r="B126" s="89" t="s">
        <v>193</v>
      </c>
      <c r="D126" s="469"/>
      <c r="E126" s="469"/>
      <c r="M126" s="75"/>
      <c r="N126" s="75"/>
      <c r="O126" s="75"/>
      <c r="P126" s="75"/>
      <c r="Q126" s="75"/>
      <c r="R126" s="75"/>
      <c r="S126" s="75"/>
      <c r="T126" s="75"/>
      <c r="U126" s="75"/>
      <c r="V126" s="75"/>
      <c r="W126" s="75"/>
      <c r="X126" s="75"/>
      <c r="Y126" s="75"/>
      <c r="Z126" s="75"/>
      <c r="AA126" s="75"/>
      <c r="AB126" s="75"/>
      <c r="AC126" s="75"/>
      <c r="AD126" s="75"/>
      <c r="AE126" s="75"/>
      <c r="AF126" s="75"/>
      <c r="AG126" s="75"/>
      <c r="AH126" s="61"/>
      <c r="AK126" s="61"/>
      <c r="AL126" s="62"/>
      <c r="AM126" s="62"/>
      <c r="AN126" s="62"/>
      <c r="AO126" s="62"/>
      <c r="AP126" s="62"/>
      <c r="AQ126" s="62"/>
      <c r="AR126" s="62"/>
    </row>
    <row r="127" spans="1:44" s="72" customFormat="1" x14ac:dyDescent="0.2">
      <c r="A127" s="282" t="s">
        <v>199</v>
      </c>
      <c r="B127" s="89">
        <v>4</v>
      </c>
      <c r="C127" s="28"/>
      <c r="D127" s="469"/>
      <c r="E127" s="469"/>
      <c r="F127" s="28"/>
      <c r="G127" s="28"/>
      <c r="H127" s="28"/>
      <c r="I127" s="28"/>
      <c r="J127" s="28"/>
      <c r="K127" s="28"/>
      <c r="L127" s="28"/>
      <c r="M127" s="60"/>
      <c r="N127" s="60"/>
      <c r="O127" s="60"/>
      <c r="P127" s="60"/>
      <c r="Q127" s="60"/>
      <c r="R127" s="60"/>
      <c r="S127" s="60"/>
      <c r="T127" s="60"/>
      <c r="U127" s="60"/>
      <c r="V127" s="60"/>
      <c r="W127" s="60"/>
      <c r="X127" s="60"/>
      <c r="Y127" s="60"/>
      <c r="Z127" s="60"/>
      <c r="AA127" s="60"/>
      <c r="AB127" s="60"/>
      <c r="AC127" s="60"/>
      <c r="AD127" s="60"/>
      <c r="AE127" s="60"/>
      <c r="AF127" s="60"/>
      <c r="AG127" s="60"/>
      <c r="AH127" s="61"/>
    </row>
    <row r="128" spans="1:44" s="72" customFormat="1" x14ac:dyDescent="0.2">
      <c r="A128" s="282" t="s">
        <v>200</v>
      </c>
      <c r="B128" s="89">
        <v>4</v>
      </c>
      <c r="C128" s="28"/>
      <c r="D128" s="469"/>
      <c r="E128" s="469"/>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row>
    <row r="129" spans="1:37" s="72" customFormat="1" x14ac:dyDescent="0.2">
      <c r="A129" s="282" t="s">
        <v>201</v>
      </c>
      <c r="B129" s="89">
        <v>1</v>
      </c>
      <c r="C129" s="28"/>
      <c r="D129" s="469"/>
      <c r="E129" s="469"/>
      <c r="F129" s="28"/>
      <c r="G129" s="28"/>
      <c r="H129" s="28"/>
      <c r="I129" s="28"/>
      <c r="J129" s="28"/>
      <c r="K129" s="28"/>
      <c r="L129" s="28"/>
      <c r="M129" s="60"/>
      <c r="N129" s="60"/>
      <c r="O129" s="60"/>
      <c r="P129" s="60"/>
      <c r="Q129" s="60"/>
      <c r="R129" s="60"/>
      <c r="S129" s="60"/>
      <c r="T129" s="60"/>
      <c r="U129" s="60"/>
      <c r="V129" s="60"/>
      <c r="W129" s="60"/>
      <c r="X129" s="60"/>
      <c r="Y129" s="60"/>
      <c r="Z129" s="60"/>
      <c r="AA129" s="60"/>
      <c r="AB129" s="60"/>
      <c r="AC129" s="60"/>
      <c r="AD129" s="60"/>
      <c r="AE129" s="60"/>
      <c r="AF129" s="60"/>
      <c r="AG129" s="60"/>
      <c r="AH129" s="61"/>
    </row>
    <row r="130" spans="1:37" s="62" customFormat="1" x14ac:dyDescent="0.2">
      <c r="A130" s="282" t="s">
        <v>202</v>
      </c>
      <c r="B130" s="89">
        <v>4</v>
      </c>
      <c r="C130" s="28"/>
      <c r="D130" s="469"/>
      <c r="E130" s="469"/>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row>
    <row r="131" spans="1:37" s="62" customFormat="1" x14ac:dyDescent="0.2">
      <c r="A131" s="282" t="s">
        <v>203</v>
      </c>
      <c r="B131" s="89">
        <v>4</v>
      </c>
      <c r="C131" s="28"/>
      <c r="D131" s="469"/>
      <c r="E131" s="469"/>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row>
    <row r="132" spans="1:37" s="62" customFormat="1" x14ac:dyDescent="0.2">
      <c r="A132" s="282" t="s">
        <v>204</v>
      </c>
      <c r="B132" s="89" t="s">
        <v>193</v>
      </c>
      <c r="C132" s="28"/>
      <c r="D132" s="469"/>
      <c r="E132" s="469"/>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row>
    <row r="133" spans="1:37" s="62" customFormat="1" x14ac:dyDescent="0.2">
      <c r="A133" s="282" t="s">
        <v>205</v>
      </c>
      <c r="B133" s="89">
        <v>2</v>
      </c>
      <c r="C133" s="61"/>
      <c r="D133" s="469"/>
      <c r="E133" s="469"/>
      <c r="F133" s="61"/>
      <c r="G133" s="61"/>
      <c r="H133" s="61"/>
      <c r="I133" s="61"/>
      <c r="J133" s="61"/>
      <c r="K133" s="61"/>
      <c r="L133" s="61"/>
      <c r="M133" s="28"/>
      <c r="N133" s="28"/>
      <c r="O133" s="28"/>
      <c r="P133" s="28"/>
      <c r="Q133" s="28"/>
      <c r="R133" s="28"/>
      <c r="S133" s="28"/>
      <c r="T133" s="28"/>
      <c r="U133" s="28"/>
      <c r="V133" s="28"/>
      <c r="W133" s="28"/>
      <c r="X133" s="28"/>
      <c r="Y133" s="28"/>
      <c r="Z133" s="28"/>
      <c r="AA133" s="28"/>
      <c r="AB133" s="28"/>
      <c r="AC133" s="28"/>
      <c r="AD133" s="28"/>
      <c r="AE133" s="28"/>
      <c r="AF133" s="28"/>
      <c r="AG133" s="28"/>
      <c r="AH133" s="28"/>
    </row>
    <row r="134" spans="1:37" s="62" customFormat="1" x14ac:dyDescent="0.2">
      <c r="A134" s="282" t="s">
        <v>206</v>
      </c>
      <c r="B134" s="89">
        <v>4</v>
      </c>
      <c r="C134" s="61"/>
      <c r="D134" s="469"/>
      <c r="E134" s="469"/>
      <c r="F134" s="61"/>
      <c r="G134" s="61"/>
      <c r="H134" s="61"/>
      <c r="I134" s="61"/>
      <c r="J134" s="61"/>
      <c r="K134" s="61"/>
      <c r="L134" s="61"/>
      <c r="M134" s="28"/>
      <c r="N134" s="28"/>
      <c r="O134" s="28"/>
      <c r="P134" s="28"/>
      <c r="Q134" s="28"/>
      <c r="R134" s="28"/>
      <c r="S134" s="28"/>
      <c r="T134" s="28"/>
      <c r="U134" s="28"/>
      <c r="V134" s="28"/>
      <c r="W134" s="28"/>
      <c r="X134" s="28"/>
      <c r="Y134" s="28"/>
      <c r="Z134" s="28"/>
      <c r="AA134" s="28"/>
      <c r="AB134" s="28"/>
      <c r="AC134" s="28"/>
      <c r="AD134" s="28"/>
      <c r="AE134" s="28"/>
      <c r="AF134" s="28"/>
      <c r="AG134" s="28"/>
      <c r="AH134" s="28"/>
    </row>
    <row r="135" spans="1:37" s="62" customFormat="1" x14ac:dyDescent="0.2">
      <c r="A135" s="282" t="s">
        <v>207</v>
      </c>
      <c r="B135" s="89" t="s">
        <v>193</v>
      </c>
      <c r="C135" s="61"/>
      <c r="D135" s="469"/>
      <c r="E135" s="469"/>
      <c r="F135" s="61"/>
      <c r="G135" s="61"/>
      <c r="H135" s="61"/>
      <c r="I135" s="61"/>
      <c r="J135" s="61"/>
      <c r="K135" s="61"/>
      <c r="L135" s="61"/>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61"/>
    </row>
    <row r="136" spans="1:37" s="62" customFormat="1" x14ac:dyDescent="0.2">
      <c r="A136" s="282" t="s">
        <v>208</v>
      </c>
      <c r="B136" s="89" t="s">
        <v>193</v>
      </c>
      <c r="C136" s="61"/>
      <c r="D136" s="469"/>
      <c r="E136" s="469"/>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row>
    <row r="137" spans="1:37" s="62" customFormat="1" x14ac:dyDescent="0.2">
      <c r="A137" s="282" t="s">
        <v>209</v>
      </c>
      <c r="B137" s="89" t="s">
        <v>193</v>
      </c>
      <c r="C137" s="61"/>
      <c r="D137" s="469"/>
      <c r="E137" s="469"/>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row>
    <row r="138" spans="1:37" s="62" customFormat="1" x14ac:dyDescent="0.2">
      <c r="A138" s="282" t="s">
        <v>210</v>
      </c>
      <c r="B138" s="89">
        <v>4</v>
      </c>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row>
    <row r="139" spans="1:37" s="62" customFormat="1" x14ac:dyDescent="0.2">
      <c r="A139" s="282" t="s">
        <v>211</v>
      </c>
      <c r="B139" s="89" t="s">
        <v>193</v>
      </c>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row>
    <row r="140" spans="1:37" s="62" customFormat="1" x14ac:dyDescent="0.2">
      <c r="A140" s="282" t="s">
        <v>212</v>
      </c>
      <c r="B140" s="89" t="s">
        <v>193</v>
      </c>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row>
    <row r="141" spans="1:37" s="62" customFormat="1" ht="12.75" thickBot="1" x14ac:dyDescent="0.25">
      <c r="A141" s="436" t="s">
        <v>213</v>
      </c>
      <c r="B141" s="93">
        <v>2</v>
      </c>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row>
    <row r="142" spans="1:37" s="62" customFormat="1" ht="12.75" thickBot="1" x14ac:dyDescent="0.25">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row>
    <row r="143" spans="1:37" s="62" customFormat="1" ht="13.5" thickBot="1" x14ac:dyDescent="0.25">
      <c r="A143" s="784" t="s">
        <v>214</v>
      </c>
      <c r="B143" s="785"/>
      <c r="C143" s="105"/>
      <c r="D143" s="105"/>
      <c r="E143" s="105"/>
      <c r="F143" s="105"/>
      <c r="G143" s="105"/>
      <c r="H143" s="105"/>
      <c r="I143" s="105"/>
      <c r="J143" s="105"/>
      <c r="K143" s="105"/>
      <c r="L143" s="105"/>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K143" s="61"/>
    </row>
    <row r="144" spans="1:37" s="62" customFormat="1" x14ac:dyDescent="0.2">
      <c r="A144" s="126" t="s">
        <v>215</v>
      </c>
      <c r="B144" s="127" t="s">
        <v>216</v>
      </c>
      <c r="C144" s="127" t="s">
        <v>216</v>
      </c>
      <c r="D144" s="127" t="s">
        <v>216</v>
      </c>
      <c r="E144" s="127" t="s">
        <v>216</v>
      </c>
      <c r="F144" s="127" t="s">
        <v>216</v>
      </c>
      <c r="G144" s="127"/>
      <c r="H144" s="127"/>
      <c r="I144" s="127"/>
      <c r="J144" s="127"/>
      <c r="K144" s="127"/>
      <c r="L144" s="127"/>
      <c r="M144" s="130" t="s">
        <v>216</v>
      </c>
      <c r="N144" s="123"/>
      <c r="O144" s="123"/>
      <c r="P144" s="123"/>
      <c r="Q144" s="123"/>
      <c r="R144" s="123"/>
      <c r="S144" s="123"/>
      <c r="T144" s="123"/>
      <c r="U144" s="123"/>
      <c r="V144" s="123"/>
      <c r="W144" s="123"/>
      <c r="X144" s="123"/>
      <c r="Y144" s="123"/>
      <c r="Z144" s="123"/>
      <c r="AA144" s="123"/>
      <c r="AB144" s="123"/>
      <c r="AC144" s="123"/>
      <c r="AD144" s="123"/>
      <c r="AE144" s="123"/>
      <c r="AF144" s="123"/>
      <c r="AG144" s="123"/>
      <c r="AH144" s="61"/>
      <c r="AI144" s="61"/>
      <c r="AK144" s="61"/>
    </row>
    <row r="145" spans="1:37" s="62" customFormat="1" ht="12.75" thickBot="1" x14ac:dyDescent="0.25">
      <c r="A145" s="128" t="s">
        <v>217</v>
      </c>
      <c r="B145" s="129"/>
      <c r="C145" s="129"/>
      <c r="D145" s="129"/>
      <c r="E145" s="129"/>
      <c r="F145" s="129"/>
      <c r="G145" s="129" t="s">
        <v>216</v>
      </c>
      <c r="H145" s="129" t="s">
        <v>216</v>
      </c>
      <c r="I145" s="129" t="s">
        <v>216</v>
      </c>
      <c r="J145" s="129" t="s">
        <v>216</v>
      </c>
      <c r="K145" s="129" t="s">
        <v>216</v>
      </c>
      <c r="L145" s="129" t="s">
        <v>216</v>
      </c>
      <c r="M145" s="131"/>
      <c r="N145" s="123"/>
      <c r="O145" s="123"/>
      <c r="P145" s="123"/>
      <c r="Q145" s="123"/>
      <c r="R145" s="123"/>
      <c r="S145" s="123"/>
      <c r="T145" s="123"/>
      <c r="U145" s="123"/>
      <c r="V145" s="123"/>
      <c r="W145" s="123"/>
      <c r="X145" s="123"/>
      <c r="Y145" s="123"/>
      <c r="Z145" s="123"/>
      <c r="AA145" s="123"/>
      <c r="AB145" s="123"/>
      <c r="AC145" s="123"/>
      <c r="AD145" s="123"/>
      <c r="AE145" s="123"/>
      <c r="AF145" s="123"/>
      <c r="AG145" s="123"/>
      <c r="AH145" s="61"/>
      <c r="AI145" s="61"/>
      <c r="AJ145" s="61"/>
      <c r="AK145" s="61"/>
    </row>
    <row r="146" spans="1:37" s="62" customFormat="1" ht="12.75" thickBot="1" x14ac:dyDescent="0.25">
      <c r="A146" s="121"/>
      <c r="B146" s="123"/>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row>
    <row r="147" spans="1:37" s="62" customFormat="1" ht="13.5" thickBot="1" x14ac:dyDescent="0.25">
      <c r="A147" s="551" t="s">
        <v>253</v>
      </c>
      <c r="B147" s="740" t="s">
        <v>220</v>
      </c>
      <c r="C147" s="741"/>
      <c r="D147" s="742" t="s">
        <v>221</v>
      </c>
      <c r="E147" s="743"/>
      <c r="F147" s="744" t="s">
        <v>222</v>
      </c>
      <c r="G147" s="745"/>
      <c r="H147" s="61"/>
      <c r="I147" s="194" t="s">
        <v>223</v>
      </c>
    </row>
    <row r="148" spans="1:37" s="61" customFormat="1" ht="13.5" thickBot="1" x14ac:dyDescent="0.25">
      <c r="A148" s="553" t="s">
        <v>224</v>
      </c>
      <c r="B148" s="297"/>
      <c r="C148" s="297"/>
      <c r="D148" s="297"/>
      <c r="E148" s="297"/>
      <c r="F148" s="297"/>
      <c r="G148" s="298"/>
      <c r="I148" s="194" t="s">
        <v>62</v>
      </c>
    </row>
    <row r="149" spans="1:37" x14ac:dyDescent="0.2">
      <c r="A149" s="555" t="s">
        <v>225</v>
      </c>
      <c r="B149" s="233">
        <v>1</v>
      </c>
      <c r="C149" s="233"/>
      <c r="D149" s="234"/>
      <c r="E149" s="234"/>
      <c r="F149" s="235"/>
      <c r="G149" s="236">
        <v>0</v>
      </c>
    </row>
    <row r="150" spans="1:37" ht="12.75" thickBot="1" x14ac:dyDescent="0.25">
      <c r="A150" s="555" t="s">
        <v>226</v>
      </c>
      <c r="B150" s="228">
        <v>1</v>
      </c>
      <c r="C150" s="228"/>
      <c r="D150" s="230"/>
      <c r="E150" s="230"/>
      <c r="F150" s="231"/>
      <c r="G150" s="232">
        <v>0</v>
      </c>
    </row>
    <row r="151" spans="1:37" ht="12.75" thickBot="1" x14ac:dyDescent="0.25">
      <c r="A151" s="553" t="str">
        <f t="shared" ref="A151:A172" si="59">A38</f>
        <v>Integrated Mission Systems</v>
      </c>
      <c r="B151" s="297"/>
      <c r="C151" s="297"/>
      <c r="D151" s="297"/>
      <c r="E151" s="297"/>
      <c r="F151" s="297"/>
      <c r="G151" s="298"/>
    </row>
    <row r="152" spans="1:37" x14ac:dyDescent="0.2">
      <c r="A152" s="556" t="str">
        <f t="shared" si="59"/>
        <v>Ready MH-60S Cargo Transport Mission Systems (C)</v>
      </c>
      <c r="B152" s="233">
        <f>$B$150</f>
        <v>1</v>
      </c>
      <c r="C152" s="233"/>
      <c r="D152" s="299"/>
      <c r="E152" s="299"/>
      <c r="F152" s="300"/>
      <c r="G152" s="301">
        <v>0</v>
      </c>
    </row>
    <row r="153" spans="1:37" x14ac:dyDescent="0.2">
      <c r="A153" s="555" t="str">
        <f t="shared" si="59"/>
        <v>Ready MH-60S Airborne Mine Counter Measures (AMCM) Mission Systems (D)</v>
      </c>
      <c r="B153" s="224">
        <v>1</v>
      </c>
      <c r="C153" s="224"/>
      <c r="D153" s="225"/>
      <c r="E153" s="225"/>
      <c r="F153" s="226"/>
      <c r="G153" s="227">
        <v>0</v>
      </c>
    </row>
    <row r="154" spans="1:37" x14ac:dyDescent="0.2">
      <c r="A154" s="555" t="str">
        <f t="shared" si="59"/>
        <v>Ready MH-60S Active/Passive Countermeasures Mission Systems (E)</v>
      </c>
      <c r="B154" s="224">
        <f>$B$150</f>
        <v>1</v>
      </c>
      <c r="C154" s="224"/>
      <c r="D154" s="225"/>
      <c r="E154" s="225"/>
      <c r="F154" s="226"/>
      <c r="G154" s="232">
        <v>0</v>
      </c>
    </row>
    <row r="155" spans="1:37" x14ac:dyDescent="0.2">
      <c r="A155" s="555" t="str">
        <f t="shared" si="59"/>
        <v>Ready MH-60S CSAR, SUW, and Spec Warfare Mission Systems (F)</v>
      </c>
      <c r="B155" s="224">
        <f>$B$150</f>
        <v>1</v>
      </c>
      <c r="C155" s="224"/>
      <c r="D155" s="225"/>
      <c r="E155" s="225"/>
      <c r="F155" s="226"/>
      <c r="G155" s="232">
        <v>0</v>
      </c>
    </row>
    <row r="156" spans="1:37" x14ac:dyDescent="0.2">
      <c r="A156" s="555" t="str">
        <f t="shared" si="59"/>
        <v>Ready MH-60S Personnel Transport Mission Systems (G)</v>
      </c>
      <c r="B156" s="224">
        <f>$B$150</f>
        <v>1</v>
      </c>
      <c r="C156" s="224"/>
      <c r="D156" s="225"/>
      <c r="E156" s="225"/>
      <c r="F156" s="226"/>
      <c r="G156" s="232">
        <v>0</v>
      </c>
    </row>
    <row r="157" spans="1:37" x14ac:dyDescent="0.2">
      <c r="A157" s="555" t="str">
        <f t="shared" si="59"/>
        <v>Ready MH-60S SAR\MEDIVAC Mission Systems (H)</v>
      </c>
      <c r="B157" s="224">
        <f>$B$150</f>
        <v>1</v>
      </c>
      <c r="C157" s="224"/>
      <c r="D157" s="225"/>
      <c r="E157" s="225"/>
      <c r="F157" s="226"/>
      <c r="G157" s="232">
        <v>0</v>
      </c>
    </row>
    <row r="158" spans="1:37" x14ac:dyDescent="0.2">
      <c r="A158" s="555" t="str">
        <f t="shared" si="59"/>
        <v>Ready MH-60S Mission Support Systems (I)</v>
      </c>
      <c r="B158" s="224" t="s">
        <v>227</v>
      </c>
      <c r="C158" s="224"/>
      <c r="D158" s="225"/>
      <c r="E158" s="225"/>
      <c r="F158" s="226"/>
      <c r="G158" s="232"/>
    </row>
    <row r="159" spans="1:37" x14ac:dyDescent="0.2">
      <c r="A159" s="555" t="str">
        <f t="shared" si="59"/>
        <v>Ready MH-60S Fixed Forward Firing Systems (J)</v>
      </c>
      <c r="B159" s="224">
        <f>$B$150</f>
        <v>1</v>
      </c>
      <c r="C159" s="224"/>
      <c r="D159" s="225"/>
      <c r="E159" s="225"/>
      <c r="F159" s="226"/>
      <c r="G159" s="227">
        <v>0</v>
      </c>
    </row>
    <row r="160" spans="1:37" x14ac:dyDescent="0.2">
      <c r="A160" s="555" t="str">
        <f t="shared" si="59"/>
        <v>Ready MH-60S Shipboard Mission Systems (K)</v>
      </c>
      <c r="B160" s="224">
        <f>$B$150</f>
        <v>1</v>
      </c>
      <c r="C160" s="224"/>
      <c r="D160" s="225"/>
      <c r="E160" s="225"/>
      <c r="F160" s="226"/>
      <c r="G160" s="227">
        <v>0</v>
      </c>
    </row>
    <row r="161" spans="1:7" ht="12.75" thickBot="1" x14ac:dyDescent="0.25">
      <c r="A161" s="555" t="str">
        <f t="shared" si="59"/>
        <v>Ready MH-60S IMC Flight Mission Systems (L)</v>
      </c>
      <c r="B161" s="224">
        <f>$B$150</f>
        <v>1</v>
      </c>
      <c r="C161" s="224"/>
      <c r="D161" s="225"/>
      <c r="E161" s="225"/>
      <c r="F161" s="226"/>
      <c r="G161" s="227">
        <v>0</v>
      </c>
    </row>
    <row r="162" spans="1:7" ht="12.75" thickBot="1" x14ac:dyDescent="0.25">
      <c r="A162" s="553" t="str">
        <f t="shared" si="59"/>
        <v>Non-Integrated Mission Systems</v>
      </c>
      <c r="B162" s="297"/>
      <c r="C162" s="297"/>
      <c r="D162" s="297"/>
      <c r="E162" s="297"/>
      <c r="F162" s="297"/>
      <c r="G162" s="298"/>
    </row>
    <row r="163" spans="1:7" x14ac:dyDescent="0.2">
      <c r="A163" s="557" t="str">
        <f t="shared" si="59"/>
        <v>Assigned M-299 Sets</v>
      </c>
      <c r="B163" s="233" t="s">
        <v>227</v>
      </c>
      <c r="C163" s="224"/>
      <c r="D163" s="234"/>
      <c r="E163" s="234"/>
      <c r="F163" s="235"/>
      <c r="G163" s="302"/>
    </row>
    <row r="164" spans="1:7" x14ac:dyDescent="0.2">
      <c r="A164" s="558" t="str">
        <f t="shared" si="59"/>
        <v>Ready M-299 Sets</v>
      </c>
      <c r="B164" s="224" t="s">
        <v>227</v>
      </c>
      <c r="C164" s="224"/>
      <c r="D164" s="225"/>
      <c r="E164" s="225"/>
      <c r="F164" s="226"/>
      <c r="G164" s="295"/>
    </row>
    <row r="165" spans="1:7" x14ac:dyDescent="0.2">
      <c r="A165" s="558" t="str">
        <f t="shared" si="59"/>
        <v>Assigned 20-mm Sets</v>
      </c>
      <c r="B165" s="224" t="s">
        <v>227</v>
      </c>
      <c r="C165" s="224"/>
      <c r="D165" s="225"/>
      <c r="E165" s="225"/>
      <c r="F165" s="226"/>
      <c r="G165" s="295"/>
    </row>
    <row r="166" spans="1:7" x14ac:dyDescent="0.2">
      <c r="A166" s="558" t="str">
        <f t="shared" si="59"/>
        <v>Ready 20-mm Sets</v>
      </c>
      <c r="B166" s="224" t="s">
        <v>227</v>
      </c>
      <c r="C166" s="224"/>
      <c r="D166" s="225"/>
      <c r="E166" s="225"/>
      <c r="F166" s="226"/>
      <c r="G166" s="295"/>
    </row>
    <row r="167" spans="1:7" x14ac:dyDescent="0.2">
      <c r="A167" s="558" t="str">
        <f t="shared" si="59"/>
        <v>Assigned GAU-21 Sets</v>
      </c>
      <c r="B167" s="233" t="s">
        <v>227</v>
      </c>
      <c r="C167" s="224"/>
      <c r="D167" s="234"/>
      <c r="E167" s="234"/>
      <c r="F167" s="235"/>
      <c r="G167" s="302"/>
    </row>
    <row r="168" spans="1:7" x14ac:dyDescent="0.2">
      <c r="A168" s="558" t="str">
        <f t="shared" si="59"/>
        <v>Ready GAU-21 Sets</v>
      </c>
      <c r="B168" s="224" t="s">
        <v>227</v>
      </c>
      <c r="C168" s="224"/>
      <c r="D168" s="225"/>
      <c r="E168" s="225"/>
      <c r="F168" s="226"/>
      <c r="G168" s="295"/>
    </row>
    <row r="169" spans="1:7" x14ac:dyDescent="0.2">
      <c r="A169" s="558" t="str">
        <f t="shared" si="59"/>
        <v>Assigned M-240 Sets</v>
      </c>
      <c r="B169" s="233">
        <v>3</v>
      </c>
      <c r="C169" s="224"/>
      <c r="D169" s="234"/>
      <c r="E169" s="234"/>
      <c r="F169" s="235">
        <v>1</v>
      </c>
      <c r="G169" s="302">
        <v>0</v>
      </c>
    </row>
    <row r="170" spans="1:7" x14ac:dyDescent="0.2">
      <c r="A170" s="558" t="str">
        <f t="shared" si="59"/>
        <v>Ready M-240 Sets</v>
      </c>
      <c r="B170" s="224">
        <v>3</v>
      </c>
      <c r="C170" s="224">
        <v>2</v>
      </c>
      <c r="D170" s="225"/>
      <c r="E170" s="225"/>
      <c r="F170" s="226">
        <v>1</v>
      </c>
      <c r="G170" s="295">
        <v>0</v>
      </c>
    </row>
    <row r="171" spans="1:7" x14ac:dyDescent="0.2">
      <c r="A171" s="558" t="str">
        <f t="shared" si="59"/>
        <v>Assigned Full Motion Video Systems</v>
      </c>
      <c r="B171" s="224" t="s">
        <v>227</v>
      </c>
      <c r="C171" s="224"/>
      <c r="D171" s="225"/>
      <c r="E171" s="225"/>
      <c r="F171" s="226"/>
      <c r="G171" s="295"/>
    </row>
    <row r="172" spans="1:7" ht="12.75" thickBot="1" x14ac:dyDescent="0.25">
      <c r="A172" s="559" t="str">
        <f t="shared" si="59"/>
        <v>Ready Full Motion Video Systems</v>
      </c>
      <c r="B172" s="237" t="s">
        <v>227</v>
      </c>
      <c r="C172" s="237"/>
      <c r="D172" s="238"/>
      <c r="E172" s="238"/>
      <c r="F172" s="239"/>
      <c r="G172" s="296"/>
    </row>
    <row r="175" spans="1:7" x14ac:dyDescent="0.2">
      <c r="A175" s="631" t="s">
        <v>228</v>
      </c>
      <c r="B175" s="631" t="s">
        <v>254</v>
      </c>
    </row>
    <row r="176" spans="1:7" x14ac:dyDescent="0.2">
      <c r="A176" s="632" t="s">
        <v>230</v>
      </c>
      <c r="B176" s="670">
        <f>HLOOKUP($B$175,'MH-60S Mission System Summary'!$B$1:$J$12,2,FALSE)</f>
        <v>0.57399575280618176</v>
      </c>
    </row>
    <row r="177" spans="1:2" x14ac:dyDescent="0.2">
      <c r="A177" s="632" t="str">
        <f t="shared" ref="A177:A186" si="60">A39</f>
        <v>Ready MH-60S Cargo Transport Mission Systems (C)</v>
      </c>
      <c r="B177" s="670">
        <f>HLOOKUP($B$175,'MH-60S Mission System Summary'!$B$1:$J$12,3,FALSE)</f>
        <v>0.36496868140692773</v>
      </c>
    </row>
    <row r="178" spans="1:2" x14ac:dyDescent="0.2">
      <c r="A178" s="632" t="str">
        <f t="shared" si="60"/>
        <v>Ready MH-60S Airborne Mine Counter Measures (AMCM) Mission Systems (D)</v>
      </c>
      <c r="B178" s="670">
        <f>HLOOKUP($B$175,'MH-60S Mission System Summary'!$B$1:$J$12,4,FALSE)</f>
        <v>0.30070533754483658</v>
      </c>
    </row>
    <row r="179" spans="1:2" x14ac:dyDescent="0.2">
      <c r="A179" s="632" t="str">
        <f t="shared" si="60"/>
        <v>Ready MH-60S Active/Passive Countermeasures Mission Systems (E)</v>
      </c>
      <c r="B179" s="670">
        <f>HLOOKUP($B$175,'MH-60S Mission System Summary'!$B$1:$J$12,5,FALSE)</f>
        <v>0.35701857701161749</v>
      </c>
    </row>
    <row r="180" spans="1:2" x14ac:dyDescent="0.2">
      <c r="A180" s="632" t="str">
        <f t="shared" si="60"/>
        <v>Ready MH-60S CSAR, SUW, and Spec Warfare Mission Systems (F)</v>
      </c>
      <c r="B180" s="670">
        <f>HLOOKUP($B$175,'MH-60S Mission System Summary'!$B$1:$J$12,6,FALSE)</f>
        <v>0.35701857701161749</v>
      </c>
    </row>
    <row r="181" spans="1:2" x14ac:dyDescent="0.2">
      <c r="A181" s="632" t="str">
        <f t="shared" si="60"/>
        <v>Ready MH-60S Personnel Transport Mission Systems (G)</v>
      </c>
      <c r="B181" s="670">
        <f>HLOOKUP($B$175,'MH-60S Mission System Summary'!$B$1:$J$12,7,FALSE)</f>
        <v>0.23195834894801659</v>
      </c>
    </row>
    <row r="182" spans="1:2" x14ac:dyDescent="0.2">
      <c r="A182" s="632" t="str">
        <f t="shared" si="60"/>
        <v>Ready MH-60S SAR\MEDIVAC Mission Systems (H)</v>
      </c>
      <c r="B182" s="670">
        <f>HLOOKUP($B$175,'MH-60S Mission System Summary'!$B$1:$J$12,8,FALSE)</f>
        <v>0.23195834894801659</v>
      </c>
    </row>
    <row r="183" spans="1:2" x14ac:dyDescent="0.2">
      <c r="A183" s="632" t="str">
        <f t="shared" si="60"/>
        <v>Ready MH-60S Mission Support Systems (I)</v>
      </c>
      <c r="B183" s="670">
        <f>HLOOKUP($B$175,'MH-60S Mission System Summary'!$B$1:$J$12,9,FALSE)</f>
        <v>0</v>
      </c>
    </row>
    <row r="184" spans="1:2" x14ac:dyDescent="0.2">
      <c r="A184" s="632" t="str">
        <f t="shared" si="60"/>
        <v>Ready MH-60S Fixed Forward Firing Systems (J)</v>
      </c>
      <c r="B184" s="670">
        <f>HLOOKUP($B$175,'MH-60S Mission System Summary'!$B$1:$J$12,10,FALSE)</f>
        <v>0</v>
      </c>
    </row>
    <row r="185" spans="1:2" x14ac:dyDescent="0.2">
      <c r="A185" s="632" t="str">
        <f t="shared" si="60"/>
        <v>Ready MH-60S Shipboard Mission Systems (K)</v>
      </c>
      <c r="B185" s="670">
        <f>HLOOKUP($B$175,'MH-60S Mission System Summary'!$B$1:$J$12,11,FALSE)</f>
        <v>0.2229442154290916</v>
      </c>
    </row>
    <row r="186" spans="1:2" x14ac:dyDescent="0.2">
      <c r="A186" s="632" t="str">
        <f t="shared" si="60"/>
        <v>Ready MH-60S IMC Flight Mission Systems (L)</v>
      </c>
      <c r="B186" s="670">
        <f>HLOOKUP($B$175,'MH-60S Mission System Summary'!$B$1:$J$12,12,FALSE)</f>
        <v>1</v>
      </c>
    </row>
  </sheetData>
  <mergeCells count="9">
    <mergeCell ref="B147:C147"/>
    <mergeCell ref="F147:G147"/>
    <mergeCell ref="G16:L16"/>
    <mergeCell ref="M1:P1"/>
    <mergeCell ref="A98:M98"/>
    <mergeCell ref="A108:B108"/>
    <mergeCell ref="A109:B109"/>
    <mergeCell ref="A143:B143"/>
    <mergeCell ref="D147:E147"/>
  </mergeCells>
  <conditionalFormatting sqref="C149:C150 C164:C166 C152:C153 C158 C161">
    <cfRule type="cellIs" dxfId="399" priority="52" operator="equal">
      <formula>B149</formula>
    </cfRule>
  </conditionalFormatting>
  <conditionalFormatting sqref="D149:E150 D163:E166 D152:E153 D158:E158 D161:E161">
    <cfRule type="cellIs" dxfId="398" priority="51" operator="equal">
      <formula>C149</formula>
    </cfRule>
  </conditionalFormatting>
  <conditionalFormatting sqref="E149">
    <cfRule type="cellIs" dxfId="397" priority="50" operator="equal">
      <formula>D149</formula>
    </cfRule>
  </conditionalFormatting>
  <conditionalFormatting sqref="F149">
    <cfRule type="cellIs" dxfId="396" priority="49" operator="equal">
      <formula>E149</formula>
    </cfRule>
  </conditionalFormatting>
  <conditionalFormatting sqref="F150 F163:F164 F152:F153 F158 F161">
    <cfRule type="cellIs" dxfId="395" priority="47" operator="equal">
      <formula>G150</formula>
    </cfRule>
    <cfRule type="cellIs" dxfId="394" priority="48" operator="equal">
      <formula>E150</formula>
    </cfRule>
  </conditionalFormatting>
  <conditionalFormatting sqref="F165:F166">
    <cfRule type="cellIs" dxfId="393" priority="45" operator="equal">
      <formula>G165</formula>
    </cfRule>
    <cfRule type="cellIs" dxfId="392" priority="46" operator="equal">
      <formula>E165</formula>
    </cfRule>
  </conditionalFormatting>
  <conditionalFormatting sqref="F172">
    <cfRule type="cellIs" dxfId="391" priority="43" operator="equal">
      <formula>G134</formula>
    </cfRule>
    <cfRule type="cellIs" dxfId="390" priority="44" operator="equal">
      <formula>E134</formula>
    </cfRule>
  </conditionalFormatting>
  <conditionalFormatting sqref="F171">
    <cfRule type="cellIs" dxfId="389" priority="53" operator="equal">
      <formula>#REF!</formula>
    </cfRule>
    <cfRule type="cellIs" dxfId="388" priority="54" operator="equal">
      <formula>E132</formula>
    </cfRule>
  </conditionalFormatting>
  <conditionalFormatting sqref="D171:E172">
    <cfRule type="cellIs" dxfId="387" priority="55" operator="equal">
      <formula>C132</formula>
    </cfRule>
  </conditionalFormatting>
  <conditionalFormatting sqref="C171:C172">
    <cfRule type="cellIs" dxfId="386" priority="56" operator="equal">
      <formula>B132</formula>
    </cfRule>
  </conditionalFormatting>
  <conditionalFormatting sqref="C154">
    <cfRule type="cellIs" dxfId="385" priority="42" operator="equal">
      <formula>B154</formula>
    </cfRule>
  </conditionalFormatting>
  <conditionalFormatting sqref="D154:E154">
    <cfRule type="cellIs" dxfId="384" priority="41" operator="equal">
      <formula>C154</formula>
    </cfRule>
  </conditionalFormatting>
  <conditionalFormatting sqref="F154">
    <cfRule type="cellIs" dxfId="383" priority="39" operator="equal">
      <formula>G154</formula>
    </cfRule>
    <cfRule type="cellIs" dxfId="382" priority="40" operator="equal">
      <formula>E154</formula>
    </cfRule>
  </conditionalFormatting>
  <conditionalFormatting sqref="C155">
    <cfRule type="cellIs" dxfId="381" priority="38" operator="equal">
      <formula>B155</formula>
    </cfRule>
  </conditionalFormatting>
  <conditionalFormatting sqref="D155:E155">
    <cfRule type="cellIs" dxfId="380" priority="37" operator="equal">
      <formula>C155</formula>
    </cfRule>
  </conditionalFormatting>
  <conditionalFormatting sqref="F155">
    <cfRule type="cellIs" dxfId="379" priority="35" operator="equal">
      <formula>G155</formula>
    </cfRule>
    <cfRule type="cellIs" dxfId="378" priority="36" operator="equal">
      <formula>E155</formula>
    </cfRule>
  </conditionalFormatting>
  <conditionalFormatting sqref="C156">
    <cfRule type="cellIs" dxfId="377" priority="34" operator="equal">
      <formula>B156</formula>
    </cfRule>
  </conditionalFormatting>
  <conditionalFormatting sqref="D156:E156">
    <cfRule type="cellIs" dxfId="376" priority="33" operator="equal">
      <formula>C156</formula>
    </cfRule>
  </conditionalFormatting>
  <conditionalFormatting sqref="F156">
    <cfRule type="cellIs" dxfId="375" priority="31" operator="equal">
      <formula>G156</formula>
    </cfRule>
    <cfRule type="cellIs" dxfId="374" priority="32" operator="equal">
      <formula>E156</formula>
    </cfRule>
  </conditionalFormatting>
  <conditionalFormatting sqref="C157">
    <cfRule type="cellIs" dxfId="373" priority="30" operator="equal">
      <formula>B157</formula>
    </cfRule>
  </conditionalFormatting>
  <conditionalFormatting sqref="D157:E157">
    <cfRule type="cellIs" dxfId="372" priority="29" operator="equal">
      <formula>C157</formula>
    </cfRule>
  </conditionalFormatting>
  <conditionalFormatting sqref="F157">
    <cfRule type="cellIs" dxfId="371" priority="27" operator="equal">
      <formula>G157</formula>
    </cfRule>
    <cfRule type="cellIs" dxfId="370" priority="28" operator="equal">
      <formula>E157</formula>
    </cfRule>
  </conditionalFormatting>
  <conditionalFormatting sqref="C159">
    <cfRule type="cellIs" dxfId="369" priority="26" operator="equal">
      <formula>B159</formula>
    </cfRule>
  </conditionalFormatting>
  <conditionalFormatting sqref="D159:E159">
    <cfRule type="cellIs" dxfId="368" priority="25" operator="equal">
      <formula>C159</formula>
    </cfRule>
  </conditionalFormatting>
  <conditionalFormatting sqref="F159">
    <cfRule type="cellIs" dxfId="367" priority="23" operator="equal">
      <formula>G159</formula>
    </cfRule>
    <cfRule type="cellIs" dxfId="366" priority="24" operator="equal">
      <formula>E159</formula>
    </cfRule>
  </conditionalFormatting>
  <conditionalFormatting sqref="C160">
    <cfRule type="cellIs" dxfId="365" priority="22" operator="equal">
      <formula>B160</formula>
    </cfRule>
  </conditionalFormatting>
  <conditionalFormatting sqref="D160:E160">
    <cfRule type="cellIs" dxfId="364" priority="21" operator="equal">
      <formula>C160</formula>
    </cfRule>
  </conditionalFormatting>
  <conditionalFormatting sqref="F160">
    <cfRule type="cellIs" dxfId="363" priority="19" operator="equal">
      <formula>G160</formula>
    </cfRule>
    <cfRule type="cellIs" dxfId="362" priority="20" operator="equal">
      <formula>E160</formula>
    </cfRule>
  </conditionalFormatting>
  <conditionalFormatting sqref="C163">
    <cfRule type="cellIs" dxfId="361" priority="18" operator="equal">
      <formula>B163</formula>
    </cfRule>
  </conditionalFormatting>
  <conditionalFormatting sqref="C168">
    <cfRule type="cellIs" dxfId="360" priority="17" operator="equal">
      <formula>B168</formula>
    </cfRule>
  </conditionalFormatting>
  <conditionalFormatting sqref="D167:E168">
    <cfRule type="cellIs" dxfId="359" priority="16" operator="equal">
      <formula>C167</formula>
    </cfRule>
  </conditionalFormatting>
  <conditionalFormatting sqref="F167:F168">
    <cfRule type="cellIs" dxfId="358" priority="14" operator="equal">
      <formula>G167</formula>
    </cfRule>
    <cfRule type="cellIs" dxfId="357" priority="15" operator="equal">
      <formula>E167</formula>
    </cfRule>
  </conditionalFormatting>
  <conditionalFormatting sqref="C167">
    <cfRule type="cellIs" dxfId="356" priority="13" operator="equal">
      <formula>B167</formula>
    </cfRule>
  </conditionalFormatting>
  <conditionalFormatting sqref="C170">
    <cfRule type="cellIs" dxfId="355" priority="12" operator="equal">
      <formula>B170</formula>
    </cfRule>
  </conditionalFormatting>
  <conditionalFormatting sqref="D169:E170">
    <cfRule type="cellIs" dxfId="354" priority="11" operator="equal">
      <formula>C169</formula>
    </cfRule>
  </conditionalFormatting>
  <conditionalFormatting sqref="F169:F170">
    <cfRule type="cellIs" dxfId="353" priority="9" operator="equal">
      <formula>G169</formula>
    </cfRule>
    <cfRule type="cellIs" dxfId="352" priority="10" operator="equal">
      <formula>E169</formula>
    </cfRule>
  </conditionalFormatting>
  <conditionalFormatting sqref="C169">
    <cfRule type="cellIs" dxfId="351" priority="8" operator="equal">
      <formula>B169</formula>
    </cfRule>
  </conditionalFormatting>
  <conditionalFormatting sqref="B152:B153 B158 B161">
    <cfRule type="cellIs" dxfId="350" priority="7" operator="equal">
      <formula>A152</formula>
    </cfRule>
  </conditionalFormatting>
  <conditionalFormatting sqref="B154">
    <cfRule type="cellIs" dxfId="349" priority="6" operator="equal">
      <formula>A154</formula>
    </cfRule>
  </conditionalFormatting>
  <conditionalFormatting sqref="B155">
    <cfRule type="cellIs" dxfId="348" priority="5" operator="equal">
      <formula>A155</formula>
    </cfRule>
  </conditionalFormatting>
  <conditionalFormatting sqref="B156">
    <cfRule type="cellIs" dxfId="347" priority="4" operator="equal">
      <formula>A156</formula>
    </cfRule>
  </conditionalFormatting>
  <conditionalFormatting sqref="B157">
    <cfRule type="cellIs" dxfId="346" priority="3" operator="equal">
      <formula>A157</formula>
    </cfRule>
  </conditionalFormatting>
  <conditionalFormatting sqref="B159">
    <cfRule type="cellIs" dxfId="345" priority="2" operator="equal">
      <formula>A159</formula>
    </cfRule>
  </conditionalFormatting>
  <conditionalFormatting sqref="B160">
    <cfRule type="cellIs" dxfId="344" priority="1" operator="equal">
      <formula>A160</formula>
    </cfRule>
  </conditionalFormatting>
  <hyperlinks>
    <hyperlink ref="I147" location="'HSC EXP 1AC MIW DRRS'!A1" display="Top" xr:uid="{00000000-0004-0000-0500-000000000000}"/>
    <hyperlink ref="I148" location="Inventory!A1" display="Inventory" xr:uid="{00000000-0004-0000-0500-000001000000}"/>
    <hyperlink ref="H1" location="Inventory!A1" display="Inventory" xr:uid="{00000000-0004-0000-0500-000002000000}"/>
    <hyperlink ref="H2" location="'HSC EXP 1AC MIW DRRS'!A161" display="AMFOM" xr:uid="{00000000-0004-0000-0500-000003000000}"/>
  </hyperlinks>
  <printOptions horizontalCentered="1" verticalCentered="1"/>
  <pageMargins left="0.5" right="0.25" top="0.5" bottom="0.5" header="0.5" footer="0.5"/>
  <pageSetup scale="27"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W186"/>
  <sheetViews>
    <sheetView showGridLines="0" topLeftCell="A25" zoomScaleNormal="100" zoomScaleSheetLayoutView="100" workbookViewId="0">
      <selection activeCell="A177" sqref="A177"/>
    </sheetView>
  </sheetViews>
  <sheetFormatPr defaultRowHeight="12" x14ac:dyDescent="0.2"/>
  <cols>
    <col min="1" max="1" width="62" style="28" bestFit="1" customWidth="1"/>
    <col min="2" max="29" width="5.7109375" style="28" customWidth="1"/>
    <col min="30" max="30" width="7" style="28" bestFit="1" customWidth="1"/>
    <col min="31" max="32" width="5.7109375" style="28" customWidth="1"/>
    <col min="33" max="33" width="7" style="28" bestFit="1" customWidth="1"/>
    <col min="34" max="60" width="5.7109375" style="28" customWidth="1"/>
    <col min="61" max="61" width="8.140625" style="28" customWidth="1"/>
    <col min="62" max="16384" width="9.140625" style="28"/>
  </cols>
  <sheetData>
    <row r="1" spans="1:38" s="1" customFormat="1" ht="18.75" x14ac:dyDescent="0.3">
      <c r="A1" s="435" t="s">
        <v>255</v>
      </c>
      <c r="B1" s="157"/>
      <c r="C1" s="157"/>
      <c r="D1" s="157"/>
      <c r="E1" s="157"/>
      <c r="F1" s="157"/>
      <c r="G1" s="157"/>
      <c r="H1" s="194" t="s">
        <v>62</v>
      </c>
      <c r="L1" s="151" t="s">
        <v>3</v>
      </c>
      <c r="M1" s="770">
        <v>44835</v>
      </c>
      <c r="N1" s="771"/>
      <c r="O1" s="772"/>
      <c r="P1" s="772"/>
      <c r="Q1" s="150"/>
      <c r="R1" s="150"/>
      <c r="S1" s="150"/>
      <c r="T1" s="150"/>
      <c r="U1" s="150"/>
      <c r="V1" s="150"/>
      <c r="W1" s="150"/>
      <c r="X1" s="150"/>
      <c r="Y1" s="150"/>
      <c r="Z1" s="150"/>
      <c r="AA1" s="150"/>
      <c r="AB1" s="150"/>
      <c r="AC1" s="423" t="s">
        <v>63</v>
      </c>
      <c r="AD1" s="424">
        <v>7.05</v>
      </c>
      <c r="AE1" s="150"/>
    </row>
    <row r="2" spans="1:38" s="8" customFormat="1" x14ac:dyDescent="0.2">
      <c r="A2" s="135" t="s">
        <v>64</v>
      </c>
      <c r="B2" s="3">
        <v>1</v>
      </c>
      <c r="C2" s="4"/>
      <c r="D2" s="4"/>
      <c r="E2" s="4"/>
      <c r="F2" s="4"/>
      <c r="G2" s="4"/>
      <c r="H2" s="622" t="s">
        <v>1</v>
      </c>
      <c r="O2" s="5"/>
      <c r="P2" s="5"/>
      <c r="Q2" s="5"/>
      <c r="R2" s="5"/>
      <c r="S2" s="5"/>
      <c r="T2" s="5"/>
      <c r="U2" s="5"/>
      <c r="V2" s="5"/>
      <c r="W2" s="5"/>
      <c r="X2" s="5"/>
      <c r="Y2" s="5"/>
      <c r="Z2" s="5"/>
      <c r="AA2" s="5"/>
      <c r="AB2" s="5"/>
      <c r="AC2" s="5"/>
      <c r="AD2" s="5"/>
      <c r="AE2" s="5"/>
      <c r="AF2" s="5"/>
      <c r="AG2" s="5"/>
      <c r="AH2" s="4"/>
      <c r="AI2" s="6"/>
      <c r="AJ2" s="7"/>
      <c r="AK2" s="195"/>
      <c r="AL2" s="196"/>
    </row>
    <row r="3" spans="1:38" s="8" customFormat="1" ht="11.25" x14ac:dyDescent="0.2">
      <c r="A3" s="135" t="s">
        <v>65</v>
      </c>
      <c r="B3" s="65">
        <f>B4/B2</f>
        <v>2</v>
      </c>
      <c r="C3" s="12"/>
      <c r="D3" s="12"/>
      <c r="E3" s="12"/>
      <c r="F3" s="12"/>
      <c r="G3" s="12"/>
      <c r="H3" s="248"/>
      <c r="I3" s="12"/>
      <c r="J3" s="12"/>
      <c r="K3" s="12"/>
      <c r="L3" s="12"/>
      <c r="AK3" s="195"/>
      <c r="AL3" s="196"/>
    </row>
    <row r="4" spans="1:38" s="8" customFormat="1" ht="11.25" x14ac:dyDescent="0.2">
      <c r="A4" s="135" t="s">
        <v>66</v>
      </c>
      <c r="B4" s="10">
        <v>2</v>
      </c>
      <c r="C4" s="14"/>
      <c r="D4" s="14"/>
      <c r="E4" s="14"/>
      <c r="F4" s="14"/>
      <c r="G4" s="14"/>
      <c r="H4" s="14"/>
      <c r="I4" s="14"/>
      <c r="J4" s="14"/>
      <c r="K4" s="14"/>
      <c r="L4" s="14"/>
      <c r="M4" s="15"/>
      <c r="N4" s="15"/>
      <c r="O4" s="15"/>
      <c r="P4" s="15"/>
      <c r="Q4" s="15"/>
      <c r="R4" s="15"/>
      <c r="S4" s="15"/>
      <c r="T4" s="15"/>
      <c r="U4" s="15"/>
      <c r="V4" s="15"/>
      <c r="W4" s="15"/>
      <c r="X4" s="15"/>
      <c r="Y4" s="15"/>
      <c r="Z4" s="15"/>
      <c r="AA4" s="15"/>
      <c r="AB4" s="15"/>
      <c r="AC4" s="15"/>
      <c r="AD4" s="15"/>
      <c r="AE4" s="15"/>
      <c r="AF4" s="15"/>
      <c r="AG4" s="15"/>
      <c r="AH4" s="16"/>
      <c r="AI4" s="17"/>
      <c r="AJ4" s="18"/>
      <c r="AK4" s="195"/>
      <c r="AL4" s="196"/>
    </row>
    <row r="5" spans="1:38" s="8" customFormat="1" ht="11.25" x14ac:dyDescent="0.2">
      <c r="A5" s="135" t="s">
        <v>67</v>
      </c>
      <c r="B5" s="19">
        <v>2</v>
      </c>
      <c r="C5" s="14"/>
      <c r="D5" s="14"/>
      <c r="E5" s="14"/>
      <c r="F5" s="14"/>
      <c r="G5" s="14"/>
      <c r="H5" s="14"/>
      <c r="I5" s="14"/>
      <c r="J5" s="14"/>
      <c r="K5" s="14"/>
      <c r="L5" s="14"/>
      <c r="M5" s="15"/>
      <c r="N5" s="15"/>
      <c r="O5" s="15"/>
      <c r="P5" s="15"/>
      <c r="Q5" s="15"/>
      <c r="R5" s="15"/>
      <c r="S5" s="15"/>
      <c r="T5" s="15"/>
      <c r="U5" s="15"/>
      <c r="V5" s="15"/>
      <c r="W5" s="15"/>
      <c r="X5" s="15"/>
      <c r="Y5" s="15"/>
      <c r="Z5" s="15"/>
      <c r="AA5" s="15"/>
      <c r="AB5" s="15"/>
      <c r="AC5" s="15"/>
      <c r="AD5" s="15"/>
      <c r="AE5" s="15"/>
      <c r="AF5" s="15"/>
      <c r="AG5" s="15"/>
      <c r="AH5" s="20"/>
      <c r="AI5" s="18"/>
      <c r="AJ5" s="18"/>
      <c r="AK5" s="195"/>
      <c r="AL5" s="197"/>
    </row>
    <row r="6" spans="1:38" s="8" customFormat="1" ht="11.25" x14ac:dyDescent="0.2">
      <c r="A6" s="136" t="s">
        <v>68</v>
      </c>
      <c r="B6" s="452">
        <v>25.8</v>
      </c>
      <c r="C6" s="21"/>
      <c r="D6" s="21"/>
      <c r="E6" s="21"/>
      <c r="F6" s="21"/>
      <c r="G6" s="21"/>
      <c r="H6" s="21"/>
      <c r="I6" s="21"/>
      <c r="J6" s="21"/>
      <c r="K6" s="21"/>
      <c r="L6" s="21"/>
      <c r="M6" s="22"/>
      <c r="N6" s="22"/>
      <c r="O6" s="22"/>
      <c r="P6" s="22"/>
      <c r="Q6" s="22"/>
      <c r="R6" s="22"/>
      <c r="S6" s="22"/>
      <c r="T6" s="22"/>
      <c r="U6" s="22"/>
      <c r="V6" s="22"/>
      <c r="W6" s="22"/>
      <c r="X6" s="22"/>
      <c r="Y6" s="22"/>
      <c r="Z6" s="22"/>
      <c r="AA6" s="22"/>
      <c r="AB6" s="22"/>
      <c r="AC6" s="22"/>
      <c r="AD6" s="22"/>
      <c r="AE6" s="22"/>
      <c r="AF6" s="22"/>
      <c r="AG6" s="22"/>
      <c r="AH6" s="20"/>
      <c r="AI6" s="18"/>
      <c r="AJ6" s="18"/>
      <c r="AK6" s="195"/>
      <c r="AL6" s="197"/>
    </row>
    <row r="7" spans="1:38" s="8" customFormat="1" ht="11.25" x14ac:dyDescent="0.2">
      <c r="A7" s="135" t="s">
        <v>69</v>
      </c>
      <c r="B7" s="65">
        <f>B6*B4</f>
        <v>51.6</v>
      </c>
      <c r="C7" s="14"/>
      <c r="D7" s="14"/>
      <c r="E7" s="14"/>
      <c r="F7" s="14"/>
      <c r="G7" s="14"/>
      <c r="H7" s="14"/>
      <c r="I7" s="14"/>
      <c r="J7" s="14"/>
      <c r="K7" s="14"/>
      <c r="L7" s="14"/>
      <c r="M7" s="15"/>
      <c r="N7" s="15"/>
      <c r="O7" s="15"/>
      <c r="P7" s="15"/>
      <c r="Q7" s="15"/>
      <c r="R7" s="15"/>
      <c r="S7" s="15"/>
      <c r="T7" s="15"/>
      <c r="U7" s="15"/>
      <c r="V7" s="15"/>
      <c r="W7" s="15"/>
      <c r="X7" s="15"/>
      <c r="Y7" s="15"/>
      <c r="Z7" s="15"/>
      <c r="AA7" s="15"/>
      <c r="AB7" s="15"/>
      <c r="AC7" s="15"/>
      <c r="AD7" s="15"/>
      <c r="AE7" s="15"/>
      <c r="AF7" s="15"/>
      <c r="AG7" s="15"/>
      <c r="AH7" s="20"/>
      <c r="AI7" s="18"/>
      <c r="AJ7" s="18"/>
      <c r="AK7" s="195"/>
      <c r="AL7" s="197"/>
    </row>
    <row r="8" spans="1:38" s="8" customFormat="1" ht="11.25" x14ac:dyDescent="0.2">
      <c r="A8" s="135" t="s">
        <v>70</v>
      </c>
      <c r="B8" s="65">
        <f>B7/B5</f>
        <v>25.8</v>
      </c>
      <c r="C8" s="13"/>
      <c r="D8" s="13"/>
      <c r="E8" s="13"/>
      <c r="F8" s="13"/>
      <c r="G8" s="13"/>
      <c r="H8" s="13"/>
      <c r="I8" s="13"/>
      <c r="J8" s="13"/>
      <c r="K8" s="13"/>
      <c r="L8" s="13"/>
      <c r="M8" s="14"/>
      <c r="N8" s="14"/>
      <c r="O8" s="14"/>
      <c r="P8" s="14"/>
      <c r="Q8" s="14"/>
      <c r="R8" s="14"/>
      <c r="S8" s="14"/>
      <c r="T8" s="14"/>
      <c r="U8" s="14"/>
      <c r="V8" s="14"/>
      <c r="W8" s="14"/>
      <c r="X8" s="14"/>
      <c r="Y8" s="14"/>
      <c r="Z8" s="14"/>
      <c r="AA8" s="14"/>
      <c r="AB8" s="14"/>
      <c r="AC8" s="14"/>
      <c r="AD8" s="14"/>
      <c r="AE8" s="14"/>
      <c r="AF8" s="14"/>
      <c r="AG8" s="14"/>
      <c r="AH8" s="20"/>
      <c r="AI8" s="18"/>
      <c r="AJ8" s="18"/>
      <c r="AK8" s="195"/>
      <c r="AL8" s="197"/>
    </row>
    <row r="9" spans="1:38" s="8" customFormat="1" ht="11.25" x14ac:dyDescent="0.2">
      <c r="A9" s="135" t="s">
        <v>71</v>
      </c>
      <c r="B9" s="65">
        <f>B4*C9</f>
        <v>2</v>
      </c>
      <c r="C9" s="23">
        <v>1</v>
      </c>
      <c r="D9" s="203" t="s">
        <v>72</v>
      </c>
      <c r="E9" s="23"/>
      <c r="F9" s="23"/>
      <c r="G9" s="132" t="s">
        <v>73</v>
      </c>
      <c r="H9" s="133">
        <v>0.4</v>
      </c>
      <c r="J9" s="23"/>
      <c r="K9" s="23"/>
      <c r="L9" s="23"/>
      <c r="M9" s="14"/>
      <c r="N9" s="14"/>
      <c r="O9" s="14"/>
      <c r="P9" s="14"/>
      <c r="Q9" s="14"/>
      <c r="R9" s="14"/>
      <c r="S9" s="14"/>
      <c r="T9" s="14"/>
      <c r="U9" s="14"/>
      <c r="V9" s="14"/>
      <c r="W9" s="14"/>
      <c r="X9" s="14"/>
      <c r="Y9" s="14"/>
      <c r="Z9" s="14"/>
      <c r="AA9" s="14"/>
      <c r="AB9" s="14"/>
      <c r="AC9" s="14"/>
      <c r="AD9" s="14"/>
      <c r="AE9" s="14"/>
      <c r="AF9" s="14"/>
      <c r="AG9" s="14"/>
      <c r="AH9" s="20"/>
      <c r="AK9" s="195"/>
      <c r="AL9" s="197"/>
    </row>
    <row r="10" spans="1:38" s="8" customFormat="1" ht="11.25" x14ac:dyDescent="0.2">
      <c r="A10" s="135" t="s">
        <v>74</v>
      </c>
      <c r="B10" s="11">
        <f>B4*C10</f>
        <v>4</v>
      </c>
      <c r="C10" s="23">
        <v>2</v>
      </c>
      <c r="D10" s="203" t="s">
        <v>72</v>
      </c>
      <c r="E10" s="23"/>
      <c r="F10" s="23"/>
      <c r="G10" s="134" t="s">
        <v>75</v>
      </c>
      <c r="H10" s="133">
        <v>0.29699999999999999</v>
      </c>
      <c r="J10" s="23"/>
      <c r="K10" s="23"/>
      <c r="L10" s="23"/>
      <c r="M10" s="11"/>
      <c r="N10" s="11"/>
      <c r="O10" s="11"/>
      <c r="P10" s="11"/>
      <c r="Q10" s="11"/>
      <c r="R10" s="11"/>
      <c r="S10" s="11"/>
      <c r="T10" s="11"/>
      <c r="U10" s="11"/>
      <c r="V10" s="11"/>
      <c r="W10" s="11"/>
      <c r="X10" s="11"/>
      <c r="Y10" s="11"/>
      <c r="Z10" s="11"/>
      <c r="AA10" s="11"/>
      <c r="AB10" s="11"/>
      <c r="AC10" s="11"/>
      <c r="AD10" s="11"/>
      <c r="AE10" s="11"/>
      <c r="AF10" s="11"/>
      <c r="AG10" s="11"/>
      <c r="AH10" s="20"/>
      <c r="AK10" s="195"/>
      <c r="AL10" s="198"/>
    </row>
    <row r="11" spans="1:38" s="8" customFormat="1" ht="11.25" x14ac:dyDescent="0.2">
      <c r="A11" s="200" t="s">
        <v>76</v>
      </c>
      <c r="B11" s="201">
        <f>C11*B4</f>
        <v>2</v>
      </c>
      <c r="C11" s="202">
        <v>1</v>
      </c>
      <c r="D11" s="203" t="s">
        <v>72</v>
      </c>
      <c r="E11" s="202"/>
      <c r="F11" s="202"/>
      <c r="G11" s="202"/>
      <c r="H11" s="202"/>
      <c r="I11" s="202"/>
      <c r="J11" s="202"/>
      <c r="K11" s="202"/>
      <c r="L11" s="202"/>
      <c r="M11" s="25"/>
      <c r="N11" s="25"/>
      <c r="O11" s="25"/>
      <c r="P11" s="25"/>
      <c r="Q11" s="25"/>
      <c r="R11" s="25"/>
      <c r="S11" s="25"/>
      <c r="T11" s="25"/>
      <c r="U11" s="25"/>
      <c r="V11" s="25"/>
      <c r="W11" s="25"/>
      <c r="X11" s="25"/>
      <c r="Y11" s="25"/>
      <c r="Z11" s="25"/>
      <c r="AA11" s="25"/>
      <c r="AB11" s="25"/>
      <c r="AC11" s="25"/>
      <c r="AD11" s="25"/>
      <c r="AE11" s="25"/>
      <c r="AF11" s="25"/>
      <c r="AG11" s="25"/>
      <c r="AH11" s="11"/>
      <c r="AI11" s="11"/>
      <c r="AJ11" s="11"/>
      <c r="AK11" s="195"/>
      <c r="AL11" s="197"/>
    </row>
    <row r="12" spans="1:38" s="8" customFormat="1" ht="11.25" x14ac:dyDescent="0.2">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11"/>
      <c r="AI12" s="11"/>
      <c r="AJ12" s="11"/>
      <c r="AK12" s="195"/>
      <c r="AL12" s="197"/>
    </row>
    <row r="13" spans="1:38" s="26" customFormat="1" ht="59.25" x14ac:dyDescent="0.2">
      <c r="A13" s="66" t="s">
        <v>77</v>
      </c>
      <c r="B13" s="67" t="s">
        <v>78</v>
      </c>
      <c r="C13" s="67" t="s">
        <v>79</v>
      </c>
      <c r="D13" s="67" t="s">
        <v>79</v>
      </c>
      <c r="E13" s="67" t="s">
        <v>249</v>
      </c>
      <c r="F13" s="67" t="s">
        <v>249</v>
      </c>
      <c r="G13" s="67" t="s">
        <v>83</v>
      </c>
      <c r="H13" s="67" t="s">
        <v>83</v>
      </c>
      <c r="I13" s="67" t="s">
        <v>83</v>
      </c>
      <c r="J13" s="67" t="s">
        <v>83</v>
      </c>
      <c r="K13" s="67" t="s">
        <v>83</v>
      </c>
      <c r="L13" s="67" t="s">
        <v>83</v>
      </c>
      <c r="M13" s="163" t="s">
        <v>84</v>
      </c>
      <c r="N13" s="438"/>
      <c r="O13" s="438"/>
      <c r="P13" s="438"/>
      <c r="Q13" s="438"/>
      <c r="R13" s="438"/>
      <c r="S13" s="438"/>
      <c r="T13" s="438"/>
      <c r="U13" s="438"/>
      <c r="V13" s="438"/>
      <c r="W13" s="438"/>
      <c r="X13" s="438"/>
      <c r="Y13" s="438"/>
      <c r="Z13" s="438"/>
      <c r="AA13" s="438"/>
      <c r="AB13" s="438"/>
      <c r="AC13" s="438"/>
      <c r="AD13" s="438"/>
      <c r="AE13" s="438"/>
      <c r="AF13" s="438"/>
      <c r="AG13" s="438"/>
    </row>
    <row r="14" spans="1:38" s="27" customFormat="1" x14ac:dyDescent="0.2">
      <c r="A14" s="66" t="s">
        <v>85</v>
      </c>
      <c r="B14" s="125" t="s">
        <v>86</v>
      </c>
      <c r="C14" s="125" t="s">
        <v>87</v>
      </c>
      <c r="D14" s="125" t="s">
        <v>88</v>
      </c>
      <c r="E14" s="125" t="s">
        <v>89</v>
      </c>
      <c r="F14" s="125" t="s">
        <v>235</v>
      </c>
      <c r="G14" s="125" t="s">
        <v>102</v>
      </c>
      <c r="H14" s="125" t="s">
        <v>103</v>
      </c>
      <c r="I14" s="125" t="s">
        <v>104</v>
      </c>
      <c r="J14" s="125" t="s">
        <v>105</v>
      </c>
      <c r="K14" s="125" t="s">
        <v>106</v>
      </c>
      <c r="L14" s="125" t="s">
        <v>107</v>
      </c>
      <c r="M14" s="164" t="s">
        <v>113</v>
      </c>
      <c r="N14" s="439"/>
      <c r="O14" s="439"/>
      <c r="P14" s="439"/>
      <c r="Q14" s="439"/>
      <c r="R14" s="439"/>
      <c r="S14" s="439"/>
      <c r="T14" s="439"/>
      <c r="U14" s="439"/>
      <c r="V14" s="439"/>
      <c r="W14" s="439"/>
      <c r="X14" s="439"/>
      <c r="Y14" s="439"/>
      <c r="Z14" s="439"/>
      <c r="AA14" s="439"/>
      <c r="AB14" s="439"/>
      <c r="AC14" s="439"/>
      <c r="AD14" s="439"/>
      <c r="AE14" s="439"/>
      <c r="AF14" s="439"/>
      <c r="AG14" s="439"/>
    </row>
    <row r="15" spans="1:38" s="27" customFormat="1" x14ac:dyDescent="0.2">
      <c r="A15" s="66" t="s">
        <v>114</v>
      </c>
      <c r="B15" s="125">
        <v>1</v>
      </c>
      <c r="C15" s="125">
        <v>11</v>
      </c>
      <c r="D15" s="125">
        <v>12</v>
      </c>
      <c r="E15" s="125">
        <v>13</v>
      </c>
      <c r="F15" s="125">
        <v>14</v>
      </c>
      <c r="G15" s="125">
        <v>15</v>
      </c>
      <c r="H15" s="125">
        <v>16</v>
      </c>
      <c r="I15" s="125">
        <v>17</v>
      </c>
      <c r="J15" s="125">
        <v>18</v>
      </c>
      <c r="K15" s="125">
        <v>19</v>
      </c>
      <c r="L15" s="125">
        <v>20</v>
      </c>
      <c r="M15" s="164">
        <v>30</v>
      </c>
      <c r="N15" s="439"/>
      <c r="O15" s="439"/>
      <c r="P15" s="439"/>
      <c r="Q15" s="439"/>
      <c r="R15" s="439"/>
      <c r="S15" s="439"/>
      <c r="T15" s="439"/>
      <c r="U15" s="439"/>
      <c r="V15" s="439"/>
      <c r="W15" s="439"/>
      <c r="X15" s="439"/>
      <c r="Y15" s="439"/>
      <c r="Z15" s="439"/>
      <c r="AA15" s="439"/>
      <c r="AB15" s="439"/>
      <c r="AC15" s="439"/>
      <c r="AD15" s="439"/>
      <c r="AE15" s="439"/>
      <c r="AF15" s="439"/>
      <c r="AG15" s="439"/>
    </row>
    <row r="16" spans="1:38" x14ac:dyDescent="0.2">
      <c r="A16" s="66" t="s">
        <v>115</v>
      </c>
      <c r="B16" s="303" t="s">
        <v>242</v>
      </c>
      <c r="C16" s="451" t="s">
        <v>242</v>
      </c>
      <c r="D16" s="451" t="s">
        <v>250</v>
      </c>
      <c r="E16" s="451" t="s">
        <v>251</v>
      </c>
      <c r="F16" s="451" t="s">
        <v>252</v>
      </c>
      <c r="G16" s="780" t="s">
        <v>119</v>
      </c>
      <c r="H16" s="781"/>
      <c r="I16" s="781"/>
      <c r="J16" s="781"/>
      <c r="K16" s="781"/>
      <c r="L16" s="786"/>
      <c r="M16" s="218" t="s">
        <v>121</v>
      </c>
      <c r="N16" s="439"/>
      <c r="O16" s="439"/>
      <c r="P16" s="439"/>
      <c r="Q16" s="439"/>
      <c r="R16" s="439"/>
      <c r="S16" s="439"/>
      <c r="T16" s="439"/>
      <c r="U16" s="439"/>
      <c r="V16" s="439"/>
      <c r="W16" s="439"/>
      <c r="X16" s="439"/>
      <c r="Y16" s="439"/>
      <c r="Z16" s="439"/>
      <c r="AA16" s="439"/>
      <c r="AB16" s="439"/>
      <c r="AC16" s="439"/>
      <c r="AD16" s="439"/>
      <c r="AE16" s="439"/>
      <c r="AF16" s="439"/>
      <c r="AG16" s="439"/>
    </row>
    <row r="17" spans="1:33" ht="12.75" x14ac:dyDescent="0.2">
      <c r="A17" s="155" t="s">
        <v>122</v>
      </c>
      <c r="B17" s="638"/>
      <c r="C17" s="31"/>
      <c r="D17" s="31"/>
      <c r="E17" s="31"/>
      <c r="F17" s="31"/>
      <c r="G17" s="31"/>
      <c r="H17" s="31"/>
      <c r="I17" s="31"/>
      <c r="J17" s="31"/>
      <c r="K17" s="31"/>
      <c r="L17" s="33"/>
      <c r="M17" s="87"/>
      <c r="N17" s="82"/>
      <c r="O17" s="82"/>
      <c r="P17" s="82"/>
      <c r="Q17" s="82"/>
      <c r="R17" s="82"/>
      <c r="S17" s="82"/>
      <c r="T17" s="82"/>
      <c r="U17" s="82"/>
      <c r="V17" s="82"/>
      <c r="W17" s="82"/>
      <c r="X17" s="82"/>
      <c r="Y17" s="82"/>
      <c r="Z17" s="82"/>
      <c r="AA17" s="82"/>
      <c r="AB17" s="82"/>
      <c r="AC17" s="82"/>
      <c r="AD17" s="82"/>
      <c r="AE17" s="82"/>
      <c r="AF17" s="82"/>
      <c r="AG17" s="82"/>
    </row>
    <row r="18" spans="1:33" x14ac:dyDescent="0.2">
      <c r="A18" s="178" t="s">
        <v>123</v>
      </c>
      <c r="B18" s="177">
        <f t="shared" ref="B18:M18" si="0">IF(B101&lt;80,B102,MIN(B101,80))</f>
        <v>0</v>
      </c>
      <c r="C18" s="177">
        <f t="shared" si="0"/>
        <v>0</v>
      </c>
      <c r="D18" s="177">
        <f t="shared" si="0"/>
        <v>0</v>
      </c>
      <c r="E18" s="177">
        <f t="shared" si="0"/>
        <v>5</v>
      </c>
      <c r="F18" s="177">
        <f t="shared" si="0"/>
        <v>27</v>
      </c>
      <c r="G18" s="177">
        <f t="shared" si="0"/>
        <v>80</v>
      </c>
      <c r="H18" s="177">
        <f t="shared" si="0"/>
        <v>80</v>
      </c>
      <c r="I18" s="177">
        <f t="shared" si="0"/>
        <v>80</v>
      </c>
      <c r="J18" s="177">
        <f t="shared" si="0"/>
        <v>80</v>
      </c>
      <c r="K18" s="177">
        <f t="shared" si="0"/>
        <v>80</v>
      </c>
      <c r="L18" s="177">
        <f t="shared" si="0"/>
        <v>80</v>
      </c>
      <c r="M18" s="177">
        <f t="shared" si="0"/>
        <v>15</v>
      </c>
      <c r="N18" s="108"/>
      <c r="O18" s="108"/>
      <c r="P18" s="108"/>
      <c r="Q18" s="108"/>
      <c r="R18" s="108"/>
      <c r="S18" s="108"/>
      <c r="T18" s="108"/>
      <c r="U18" s="108"/>
      <c r="V18" s="108"/>
      <c r="W18" s="108"/>
      <c r="X18" s="108"/>
      <c r="Y18" s="108"/>
      <c r="Z18" s="108"/>
      <c r="AA18" s="108"/>
      <c r="AB18" s="108"/>
      <c r="AC18" s="108"/>
      <c r="AD18" s="108"/>
      <c r="AE18" s="108"/>
      <c r="AF18" s="108"/>
      <c r="AG18" s="108"/>
    </row>
    <row r="19" spans="1:33" x14ac:dyDescent="0.2">
      <c r="A19" s="34" t="s">
        <v>124</v>
      </c>
      <c r="B19" s="71">
        <v>0.5</v>
      </c>
      <c r="C19" s="71">
        <v>0.55000000000000004</v>
      </c>
      <c r="D19" s="71">
        <v>0.65</v>
      </c>
      <c r="E19" s="71">
        <v>0.75</v>
      </c>
      <c r="F19" s="71">
        <v>0.8</v>
      </c>
      <c r="G19" s="71">
        <v>0.8</v>
      </c>
      <c r="H19" s="71">
        <v>0.8</v>
      </c>
      <c r="I19" s="71">
        <v>0.8</v>
      </c>
      <c r="J19" s="71">
        <v>0.8</v>
      </c>
      <c r="K19" s="71">
        <v>0.8</v>
      </c>
      <c r="L19" s="71">
        <v>0.8</v>
      </c>
      <c r="M19" s="215">
        <v>0.4</v>
      </c>
      <c r="N19" s="440"/>
      <c r="O19" s="440"/>
      <c r="P19" s="440"/>
      <c r="Q19" s="440"/>
      <c r="R19" s="440"/>
      <c r="S19" s="440"/>
      <c r="T19" s="440"/>
      <c r="U19" s="440"/>
      <c r="V19" s="440"/>
      <c r="W19" s="440"/>
      <c r="X19" s="440"/>
      <c r="Y19" s="440"/>
      <c r="Z19" s="440"/>
      <c r="AA19" s="440"/>
      <c r="AB19" s="440"/>
      <c r="AC19" s="440"/>
      <c r="AD19" s="440"/>
      <c r="AE19" s="440"/>
      <c r="AF19" s="440"/>
      <c r="AG19" s="440"/>
    </row>
    <row r="20" spans="1:33" x14ac:dyDescent="0.2">
      <c r="A20" s="204" t="s">
        <v>125</v>
      </c>
      <c r="B20" s="638"/>
      <c r="C20" s="31"/>
      <c r="D20" s="31"/>
      <c r="E20" s="31"/>
      <c r="F20" s="31"/>
      <c r="G20" s="31"/>
      <c r="H20" s="31"/>
      <c r="I20" s="31"/>
      <c r="J20" s="31"/>
      <c r="K20" s="31"/>
      <c r="L20" s="33"/>
      <c r="M20" s="216"/>
      <c r="N20" s="440"/>
      <c r="O20" s="440"/>
      <c r="P20" s="440"/>
      <c r="Q20" s="440"/>
      <c r="R20" s="440"/>
      <c r="S20" s="440"/>
      <c r="T20" s="440"/>
      <c r="U20" s="440"/>
      <c r="V20" s="440"/>
      <c r="W20" s="440"/>
      <c r="X20" s="440"/>
      <c r="Y20" s="440"/>
      <c r="Z20" s="440"/>
      <c r="AA20" s="440"/>
      <c r="AB20" s="440"/>
      <c r="AC20" s="440"/>
      <c r="AD20" s="440"/>
      <c r="AE20" s="440"/>
      <c r="AF20" s="440"/>
      <c r="AG20" s="440"/>
    </row>
    <row r="21" spans="1:33" s="38" customFormat="1" x14ac:dyDescent="0.2">
      <c r="A21" s="205" t="s">
        <v>126</v>
      </c>
      <c r="B21" s="209">
        <f t="shared" ref="B21:L21" si="1">B19*$B$8</f>
        <v>12.9</v>
      </c>
      <c r="C21" s="209">
        <f t="shared" si="1"/>
        <v>14.190000000000001</v>
      </c>
      <c r="D21" s="209">
        <f t="shared" si="1"/>
        <v>16.77</v>
      </c>
      <c r="E21" s="209">
        <f t="shared" si="1"/>
        <v>19.350000000000001</v>
      </c>
      <c r="F21" s="209">
        <f t="shared" si="1"/>
        <v>20.64</v>
      </c>
      <c r="G21" s="209">
        <f t="shared" si="1"/>
        <v>20.64</v>
      </c>
      <c r="H21" s="209">
        <f t="shared" si="1"/>
        <v>20.64</v>
      </c>
      <c r="I21" s="209">
        <f t="shared" si="1"/>
        <v>20.64</v>
      </c>
      <c r="J21" s="209">
        <f t="shared" si="1"/>
        <v>20.64</v>
      </c>
      <c r="K21" s="209">
        <f t="shared" si="1"/>
        <v>20.64</v>
      </c>
      <c r="L21" s="209">
        <f t="shared" si="1"/>
        <v>20.64</v>
      </c>
      <c r="M21" s="209">
        <f>M19*$B$8</f>
        <v>10.32</v>
      </c>
      <c r="N21" s="441"/>
      <c r="O21" s="441"/>
      <c r="P21" s="441"/>
      <c r="Q21" s="441"/>
      <c r="R21" s="441"/>
      <c r="S21" s="441"/>
      <c r="T21" s="441"/>
      <c r="U21" s="441"/>
      <c r="V21" s="441"/>
      <c r="W21" s="441"/>
      <c r="X21" s="441"/>
      <c r="Y21" s="441"/>
      <c r="Z21" s="441"/>
      <c r="AA21" s="441"/>
      <c r="AB21" s="441"/>
      <c r="AC21" s="441"/>
      <c r="AD21" s="441"/>
      <c r="AE21" s="441"/>
      <c r="AF21" s="441"/>
      <c r="AG21" s="441"/>
    </row>
    <row r="22" spans="1:33" s="40" customFormat="1" x14ac:dyDescent="0.2">
      <c r="A22" s="205" t="s">
        <v>127</v>
      </c>
      <c r="B22" s="37">
        <f t="shared" ref="B22:M22" si="2">B21*$B$5</f>
        <v>25.8</v>
      </c>
      <c r="C22" s="37">
        <f t="shared" si="2"/>
        <v>28.380000000000003</v>
      </c>
      <c r="D22" s="37">
        <f t="shared" si="2"/>
        <v>33.54</v>
      </c>
      <c r="E22" s="37">
        <f t="shared" si="2"/>
        <v>38.700000000000003</v>
      </c>
      <c r="F22" s="37">
        <f t="shared" si="2"/>
        <v>41.28</v>
      </c>
      <c r="G22" s="37">
        <f t="shared" si="2"/>
        <v>41.28</v>
      </c>
      <c r="H22" s="37">
        <f t="shared" si="2"/>
        <v>41.28</v>
      </c>
      <c r="I22" s="37">
        <f t="shared" si="2"/>
        <v>41.28</v>
      </c>
      <c r="J22" s="37">
        <f t="shared" si="2"/>
        <v>41.28</v>
      </c>
      <c r="K22" s="37">
        <f t="shared" si="2"/>
        <v>41.28</v>
      </c>
      <c r="L22" s="37">
        <f t="shared" si="2"/>
        <v>41.28</v>
      </c>
      <c r="M22" s="37">
        <f t="shared" si="2"/>
        <v>20.64</v>
      </c>
      <c r="N22" s="442"/>
      <c r="O22" s="442"/>
      <c r="P22" s="442"/>
      <c r="Q22" s="442"/>
      <c r="R22" s="442"/>
      <c r="S22" s="442"/>
      <c r="T22" s="442"/>
      <c r="U22" s="442"/>
      <c r="V22" s="442"/>
      <c r="W22" s="442"/>
      <c r="X22" s="442"/>
      <c r="Y22" s="442"/>
      <c r="Z22" s="442"/>
      <c r="AA22" s="442"/>
      <c r="AB22" s="442"/>
      <c r="AC22" s="442"/>
      <c r="AD22" s="442"/>
      <c r="AE22" s="442"/>
      <c r="AF22" s="442"/>
      <c r="AG22" s="442"/>
    </row>
    <row r="23" spans="1:33" s="40" customFormat="1" x14ac:dyDescent="0.2">
      <c r="A23" s="205" t="s">
        <v>128</v>
      </c>
      <c r="B23" s="139">
        <f t="shared" ref="B23:M23" si="3">$B$9</f>
        <v>2</v>
      </c>
      <c r="C23" s="139">
        <f t="shared" si="3"/>
        <v>2</v>
      </c>
      <c r="D23" s="139">
        <f t="shared" si="3"/>
        <v>2</v>
      </c>
      <c r="E23" s="139">
        <f t="shared" si="3"/>
        <v>2</v>
      </c>
      <c r="F23" s="139">
        <f t="shared" si="3"/>
        <v>2</v>
      </c>
      <c r="G23" s="139">
        <f t="shared" si="3"/>
        <v>2</v>
      </c>
      <c r="H23" s="139">
        <f t="shared" si="3"/>
        <v>2</v>
      </c>
      <c r="I23" s="139">
        <f t="shared" si="3"/>
        <v>2</v>
      </c>
      <c r="J23" s="139">
        <f t="shared" si="3"/>
        <v>2</v>
      </c>
      <c r="K23" s="139">
        <f t="shared" si="3"/>
        <v>2</v>
      </c>
      <c r="L23" s="139">
        <f t="shared" si="3"/>
        <v>2</v>
      </c>
      <c r="M23" s="139">
        <f t="shared" si="3"/>
        <v>2</v>
      </c>
      <c r="N23" s="443"/>
      <c r="O23" s="443"/>
      <c r="P23" s="443"/>
      <c r="Q23" s="443"/>
      <c r="R23" s="443"/>
      <c r="S23" s="443"/>
      <c r="T23" s="443"/>
      <c r="U23" s="443"/>
      <c r="V23" s="443"/>
      <c r="W23" s="443"/>
      <c r="X23" s="443"/>
      <c r="Y23" s="443"/>
      <c r="Z23" s="443"/>
      <c r="AA23" s="443"/>
      <c r="AB23" s="443"/>
      <c r="AC23" s="443"/>
      <c r="AD23" s="443"/>
      <c r="AE23" s="443"/>
      <c r="AF23" s="443"/>
      <c r="AG23" s="443"/>
    </row>
    <row r="24" spans="1:33" s="40" customFormat="1" x14ac:dyDescent="0.2">
      <c r="A24" s="205" t="s">
        <v>129</v>
      </c>
      <c r="B24" s="139">
        <f t="shared" ref="B24:L24" si="4">IF(ISBLANK(B145),0,$B$10)</f>
        <v>0</v>
      </c>
      <c r="C24" s="139">
        <f t="shared" si="4"/>
        <v>0</v>
      </c>
      <c r="D24" s="139">
        <f t="shared" si="4"/>
        <v>0</v>
      </c>
      <c r="E24" s="139">
        <f t="shared" si="4"/>
        <v>0</v>
      </c>
      <c r="F24" s="139">
        <f t="shared" si="4"/>
        <v>0</v>
      </c>
      <c r="G24" s="139">
        <f t="shared" si="4"/>
        <v>4</v>
      </c>
      <c r="H24" s="139">
        <f t="shared" si="4"/>
        <v>4</v>
      </c>
      <c r="I24" s="139">
        <f t="shared" si="4"/>
        <v>4</v>
      </c>
      <c r="J24" s="139">
        <f t="shared" si="4"/>
        <v>4</v>
      </c>
      <c r="K24" s="139">
        <f t="shared" si="4"/>
        <v>4</v>
      </c>
      <c r="L24" s="139">
        <f t="shared" si="4"/>
        <v>4</v>
      </c>
      <c r="M24" s="139">
        <f>IF(ISBLANK(BC142),0,$B$10)</f>
        <v>0</v>
      </c>
      <c r="N24" s="443"/>
      <c r="O24" s="443"/>
      <c r="P24" s="443"/>
      <c r="Q24" s="443"/>
      <c r="R24" s="443"/>
      <c r="S24" s="443"/>
      <c r="T24" s="443"/>
      <c r="U24" s="443"/>
      <c r="V24" s="443"/>
      <c r="W24" s="443"/>
      <c r="X24" s="443"/>
      <c r="Y24" s="443"/>
      <c r="Z24" s="443"/>
      <c r="AA24" s="443"/>
      <c r="AB24" s="443"/>
      <c r="AC24" s="443"/>
      <c r="AD24" s="443"/>
      <c r="AE24" s="443"/>
      <c r="AF24" s="443"/>
      <c r="AG24" s="443"/>
    </row>
    <row r="25" spans="1:33" s="40" customFormat="1" x14ac:dyDescent="0.2">
      <c r="A25" s="205" t="s">
        <v>130</v>
      </c>
      <c r="B25" s="37">
        <f t="shared" ref="B25:L25" si="5">B21*$B$5+SUM(B23:B24)</f>
        <v>27.8</v>
      </c>
      <c r="C25" s="37">
        <f t="shared" si="5"/>
        <v>30.380000000000003</v>
      </c>
      <c r="D25" s="37">
        <f t="shared" si="5"/>
        <v>35.54</v>
      </c>
      <c r="E25" s="37">
        <f t="shared" si="5"/>
        <v>40.700000000000003</v>
      </c>
      <c r="F25" s="37">
        <f t="shared" si="5"/>
        <v>43.28</v>
      </c>
      <c r="G25" s="37">
        <f t="shared" si="5"/>
        <v>47.28</v>
      </c>
      <c r="H25" s="37">
        <f t="shared" si="5"/>
        <v>47.28</v>
      </c>
      <c r="I25" s="37">
        <f t="shared" si="5"/>
        <v>47.28</v>
      </c>
      <c r="J25" s="37">
        <f t="shared" si="5"/>
        <v>47.28</v>
      </c>
      <c r="K25" s="37">
        <f t="shared" si="5"/>
        <v>47.28</v>
      </c>
      <c r="L25" s="37">
        <f t="shared" si="5"/>
        <v>47.28</v>
      </c>
      <c r="M25" s="37">
        <f t="shared" ref="M25" si="6">M21*$B$5+SUM(M23:M24)</f>
        <v>22.64</v>
      </c>
      <c r="N25" s="442"/>
      <c r="O25" s="442"/>
      <c r="P25" s="442"/>
      <c r="Q25" s="442"/>
      <c r="R25" s="442"/>
      <c r="S25" s="442"/>
      <c r="T25" s="442"/>
      <c r="U25" s="442"/>
      <c r="V25" s="442"/>
      <c r="W25" s="442"/>
      <c r="X25" s="442"/>
      <c r="Y25" s="442"/>
      <c r="Z25" s="442"/>
      <c r="AA25" s="442"/>
      <c r="AB25" s="442"/>
      <c r="AC25" s="442"/>
      <c r="AD25" s="442"/>
      <c r="AE25" s="442"/>
      <c r="AF25" s="442"/>
      <c r="AG25" s="442"/>
    </row>
    <row r="26" spans="1:33" s="40" customFormat="1" x14ac:dyDescent="0.2">
      <c r="A26" s="206" t="s">
        <v>131</v>
      </c>
      <c r="B26" s="39">
        <f t="shared" ref="B26:M26" si="7">-IF(ISBLANK(B144),0,MIN(B$22*$H$10,B$22-$B$7*$H$9))</f>
        <v>-5.16</v>
      </c>
      <c r="C26" s="39">
        <f t="shared" si="7"/>
        <v>-7.740000000000002</v>
      </c>
      <c r="D26" s="39">
        <f t="shared" si="7"/>
        <v>-9.9613800000000001</v>
      </c>
      <c r="E26" s="39">
        <f t="shared" si="7"/>
        <v>-11.4939</v>
      </c>
      <c r="F26" s="39">
        <f t="shared" si="7"/>
        <v>-12.260159999999999</v>
      </c>
      <c r="G26" s="39">
        <f t="shared" si="7"/>
        <v>0</v>
      </c>
      <c r="H26" s="39">
        <f t="shared" si="7"/>
        <v>0</v>
      </c>
      <c r="I26" s="39">
        <f t="shared" si="7"/>
        <v>0</v>
      </c>
      <c r="J26" s="39">
        <f t="shared" si="7"/>
        <v>0</v>
      </c>
      <c r="K26" s="39">
        <f t="shared" si="7"/>
        <v>0</v>
      </c>
      <c r="L26" s="39">
        <f t="shared" si="7"/>
        <v>0</v>
      </c>
      <c r="M26" s="39">
        <f t="shared" si="7"/>
        <v>0</v>
      </c>
      <c r="N26" s="442"/>
      <c r="O26" s="442"/>
      <c r="P26" s="442"/>
      <c r="Q26" s="442"/>
      <c r="R26" s="442"/>
      <c r="S26" s="442"/>
      <c r="T26" s="442"/>
      <c r="U26" s="442"/>
      <c r="V26" s="442"/>
      <c r="W26" s="442"/>
      <c r="X26" s="442"/>
      <c r="Y26" s="442"/>
      <c r="Z26" s="442"/>
      <c r="AA26" s="442"/>
      <c r="AB26" s="442"/>
      <c r="AC26" s="442"/>
      <c r="AD26" s="442"/>
      <c r="AE26" s="442"/>
      <c r="AF26" s="442"/>
      <c r="AG26" s="442"/>
    </row>
    <row r="27" spans="1:33" s="40" customFormat="1" x14ac:dyDescent="0.2">
      <c r="A27" s="205" t="s">
        <v>132</v>
      </c>
      <c r="B27" s="39">
        <f t="shared" ref="B27:L27" si="8">SUM(B25:B26)</f>
        <v>22.64</v>
      </c>
      <c r="C27" s="39">
        <f t="shared" si="8"/>
        <v>22.64</v>
      </c>
      <c r="D27" s="39">
        <f t="shared" si="8"/>
        <v>25.578620000000001</v>
      </c>
      <c r="E27" s="39">
        <f t="shared" si="8"/>
        <v>29.206100000000003</v>
      </c>
      <c r="F27" s="39">
        <f t="shared" si="8"/>
        <v>31.019840000000002</v>
      </c>
      <c r="G27" s="39">
        <f t="shared" si="8"/>
        <v>47.28</v>
      </c>
      <c r="H27" s="39">
        <f t="shared" si="8"/>
        <v>47.28</v>
      </c>
      <c r="I27" s="39">
        <f t="shared" si="8"/>
        <v>47.28</v>
      </c>
      <c r="J27" s="39">
        <f t="shared" si="8"/>
        <v>47.28</v>
      </c>
      <c r="K27" s="39">
        <f t="shared" si="8"/>
        <v>47.28</v>
      </c>
      <c r="L27" s="39">
        <f t="shared" si="8"/>
        <v>47.28</v>
      </c>
      <c r="M27" s="37">
        <f t="shared" ref="M27" si="9">SUM(M25:M26)</f>
        <v>22.64</v>
      </c>
      <c r="N27" s="442"/>
      <c r="O27" s="442"/>
      <c r="P27" s="442"/>
      <c r="Q27" s="442"/>
      <c r="R27" s="442"/>
      <c r="S27" s="442"/>
      <c r="T27" s="442"/>
      <c r="U27" s="442"/>
      <c r="V27" s="442"/>
      <c r="W27" s="442"/>
      <c r="X27" s="442"/>
      <c r="Y27" s="442"/>
      <c r="Z27" s="442"/>
      <c r="AA27" s="442"/>
      <c r="AB27" s="442"/>
      <c r="AC27" s="442"/>
      <c r="AD27" s="442"/>
      <c r="AE27" s="442"/>
      <c r="AF27" s="442"/>
      <c r="AG27" s="442"/>
    </row>
    <row r="28" spans="1:33" s="40" customFormat="1" x14ac:dyDescent="0.2">
      <c r="A28" s="206" t="s">
        <v>133</v>
      </c>
      <c r="B28" s="41">
        <f t="shared" ref="B28:L28" si="10">AVERAGE($B$22:$L$22)</f>
        <v>37.761818181818171</v>
      </c>
      <c r="C28" s="41">
        <f t="shared" si="10"/>
        <v>37.761818181818171</v>
      </c>
      <c r="D28" s="41">
        <f t="shared" si="10"/>
        <v>37.761818181818171</v>
      </c>
      <c r="E28" s="41">
        <f t="shared" si="10"/>
        <v>37.761818181818171</v>
      </c>
      <c r="F28" s="41">
        <f t="shared" si="10"/>
        <v>37.761818181818171</v>
      </c>
      <c r="G28" s="41">
        <f t="shared" si="10"/>
        <v>37.761818181818171</v>
      </c>
      <c r="H28" s="41">
        <f t="shared" si="10"/>
        <v>37.761818181818171</v>
      </c>
      <c r="I28" s="41">
        <f t="shared" si="10"/>
        <v>37.761818181818171</v>
      </c>
      <c r="J28" s="41">
        <f t="shared" si="10"/>
        <v>37.761818181818171</v>
      </c>
      <c r="K28" s="41">
        <f t="shared" si="10"/>
        <v>37.761818181818171</v>
      </c>
      <c r="L28" s="41">
        <f t="shared" si="10"/>
        <v>37.761818181818171</v>
      </c>
      <c r="M28" s="37">
        <f>M27</f>
        <v>22.64</v>
      </c>
      <c r="N28" s="442"/>
      <c r="O28" s="442"/>
      <c r="P28" s="442"/>
      <c r="Q28" s="442"/>
      <c r="R28" s="442"/>
      <c r="S28" s="442"/>
      <c r="T28" s="442"/>
      <c r="U28" s="442"/>
      <c r="V28" s="442"/>
      <c r="W28" s="442"/>
      <c r="X28" s="442"/>
      <c r="Y28" s="442"/>
      <c r="Z28" s="442"/>
      <c r="AA28" s="442"/>
      <c r="AB28" s="442"/>
      <c r="AC28" s="442"/>
      <c r="AD28" s="442"/>
      <c r="AE28" s="442"/>
      <c r="AF28" s="442"/>
      <c r="AG28" s="442"/>
    </row>
    <row r="29" spans="1:33" s="40" customFormat="1" x14ac:dyDescent="0.2">
      <c r="A29" s="207" t="s">
        <v>134</v>
      </c>
      <c r="B29" s="638"/>
      <c r="C29" s="31"/>
      <c r="D29" s="31"/>
      <c r="E29" s="31"/>
      <c r="F29" s="31"/>
      <c r="G29" s="31"/>
      <c r="H29" s="31"/>
      <c r="I29" s="31"/>
      <c r="J29" s="31"/>
      <c r="K29" s="31"/>
      <c r="L29" s="33"/>
      <c r="M29" s="37"/>
      <c r="N29" s="442"/>
      <c r="O29" s="442"/>
      <c r="P29" s="442"/>
      <c r="Q29" s="442"/>
      <c r="R29" s="442"/>
      <c r="S29" s="442"/>
      <c r="T29" s="442"/>
      <c r="U29" s="442"/>
      <c r="V29" s="442"/>
      <c r="W29" s="442"/>
      <c r="X29" s="442"/>
      <c r="Y29" s="442"/>
      <c r="Z29" s="442"/>
      <c r="AA29" s="442"/>
      <c r="AB29" s="442"/>
      <c r="AC29" s="442"/>
      <c r="AD29" s="442"/>
      <c r="AE29" s="442"/>
      <c r="AF29" s="442"/>
      <c r="AG29" s="442"/>
    </row>
    <row r="30" spans="1:33" s="40" customFormat="1" x14ac:dyDescent="0.2">
      <c r="A30" s="206" t="s">
        <v>135</v>
      </c>
      <c r="B30" s="41">
        <f t="shared" ref="B30:M30" si="11">IF(ISBLANK(B144),0,$B$11)</f>
        <v>2</v>
      </c>
      <c r="C30" s="41">
        <f t="shared" si="11"/>
        <v>2</v>
      </c>
      <c r="D30" s="41">
        <f t="shared" si="11"/>
        <v>2</v>
      </c>
      <c r="E30" s="41">
        <f t="shared" si="11"/>
        <v>2</v>
      </c>
      <c r="F30" s="41">
        <f t="shared" si="11"/>
        <v>2</v>
      </c>
      <c r="G30" s="41">
        <f t="shared" si="11"/>
        <v>0</v>
      </c>
      <c r="H30" s="41">
        <f t="shared" si="11"/>
        <v>0</v>
      </c>
      <c r="I30" s="41">
        <f t="shared" si="11"/>
        <v>0</v>
      </c>
      <c r="J30" s="41">
        <f t="shared" si="11"/>
        <v>0</v>
      </c>
      <c r="K30" s="41">
        <f t="shared" si="11"/>
        <v>0</v>
      </c>
      <c r="L30" s="639">
        <f t="shared" si="11"/>
        <v>0</v>
      </c>
      <c r="M30" s="41">
        <f t="shared" si="11"/>
        <v>2</v>
      </c>
      <c r="N30" s="442"/>
      <c r="O30" s="442"/>
      <c r="P30" s="442"/>
      <c r="Q30" s="442"/>
      <c r="R30" s="442"/>
      <c r="S30" s="442"/>
      <c r="T30" s="442"/>
      <c r="U30" s="442"/>
      <c r="V30" s="442"/>
      <c r="W30" s="442"/>
      <c r="X30" s="442"/>
      <c r="Y30" s="442"/>
      <c r="Z30" s="442"/>
      <c r="AA30" s="442"/>
      <c r="AB30" s="442"/>
      <c r="AC30" s="442"/>
      <c r="AD30" s="442"/>
      <c r="AE30" s="442"/>
      <c r="AF30" s="442"/>
      <c r="AG30" s="442"/>
    </row>
    <row r="31" spans="1:33" s="40" customFormat="1" ht="12.75" x14ac:dyDescent="0.2">
      <c r="A31" s="155" t="s">
        <v>136</v>
      </c>
      <c r="B31" s="638"/>
      <c r="C31" s="31"/>
      <c r="D31" s="31"/>
      <c r="E31" s="31"/>
      <c r="F31" s="31"/>
      <c r="G31" s="31"/>
      <c r="H31" s="31"/>
      <c r="I31" s="31"/>
      <c r="J31" s="31"/>
      <c r="K31" s="31"/>
      <c r="L31" s="33"/>
      <c r="M31" s="34"/>
      <c r="N31" s="82"/>
      <c r="O31" s="82"/>
      <c r="P31" s="82"/>
      <c r="Q31" s="82"/>
      <c r="R31" s="82"/>
      <c r="S31" s="82"/>
      <c r="T31" s="82"/>
      <c r="U31" s="82"/>
      <c r="V31" s="82"/>
      <c r="W31" s="82"/>
      <c r="X31" s="82"/>
      <c r="Y31" s="82"/>
      <c r="Z31" s="82"/>
      <c r="AA31" s="82"/>
      <c r="AB31" s="82"/>
      <c r="AC31" s="82"/>
      <c r="AD31" s="82"/>
      <c r="AE31" s="82"/>
      <c r="AF31" s="82"/>
      <c r="AG31" s="82"/>
    </row>
    <row r="32" spans="1:33" s="40" customFormat="1" x14ac:dyDescent="0.2">
      <c r="A32" s="333" t="s">
        <v>137</v>
      </c>
      <c r="B32" s="456">
        <v>0.7</v>
      </c>
      <c r="C32" s="456">
        <v>0.8</v>
      </c>
      <c r="D32" s="456">
        <v>0.8</v>
      </c>
      <c r="E32" s="456">
        <v>0.9</v>
      </c>
      <c r="F32" s="456">
        <v>0.9</v>
      </c>
      <c r="G32" s="456">
        <v>1</v>
      </c>
      <c r="H32" s="456">
        <v>1</v>
      </c>
      <c r="I32" s="456">
        <v>1</v>
      </c>
      <c r="J32" s="456">
        <v>1</v>
      </c>
      <c r="K32" s="456">
        <v>1</v>
      </c>
      <c r="L32" s="456">
        <v>1</v>
      </c>
      <c r="M32" s="456">
        <v>0.7</v>
      </c>
      <c r="N32" s="360"/>
      <c r="O32" s="360"/>
      <c r="P32" s="360"/>
      <c r="Q32" s="360"/>
      <c r="R32" s="360"/>
      <c r="S32" s="360"/>
      <c r="T32" s="360"/>
      <c r="U32" s="360"/>
      <c r="V32" s="360"/>
      <c r="W32" s="360"/>
      <c r="X32" s="360"/>
      <c r="Y32" s="360"/>
      <c r="Z32" s="360"/>
      <c r="AA32" s="360"/>
      <c r="AB32" s="360"/>
      <c r="AC32" s="360"/>
      <c r="AD32" s="360"/>
      <c r="AE32" s="360"/>
      <c r="AF32" s="360"/>
      <c r="AG32" s="360"/>
    </row>
    <row r="33" spans="1:33" s="40" customFormat="1" x14ac:dyDescent="0.2">
      <c r="A33" s="333" t="s">
        <v>138</v>
      </c>
      <c r="B33" s="43">
        <f t="shared" ref="B33:M33" si="12">0.8*B32</f>
        <v>0.55999999999999994</v>
      </c>
      <c r="C33" s="43">
        <f t="shared" si="12"/>
        <v>0.64000000000000012</v>
      </c>
      <c r="D33" s="43">
        <f t="shared" si="12"/>
        <v>0.64000000000000012</v>
      </c>
      <c r="E33" s="43">
        <f t="shared" si="12"/>
        <v>0.72000000000000008</v>
      </c>
      <c r="F33" s="43">
        <f t="shared" si="12"/>
        <v>0.72000000000000008</v>
      </c>
      <c r="G33" s="43">
        <f t="shared" si="12"/>
        <v>0.8</v>
      </c>
      <c r="H33" s="43">
        <f t="shared" si="12"/>
        <v>0.8</v>
      </c>
      <c r="I33" s="43">
        <f t="shared" si="12"/>
        <v>0.8</v>
      </c>
      <c r="J33" s="43">
        <f t="shared" si="12"/>
        <v>0.8</v>
      </c>
      <c r="K33" s="43">
        <f t="shared" si="12"/>
        <v>0.8</v>
      </c>
      <c r="L33" s="43">
        <f t="shared" si="12"/>
        <v>0.8</v>
      </c>
      <c r="M33" s="43">
        <f t="shared" si="12"/>
        <v>0.55999999999999994</v>
      </c>
      <c r="N33" s="444"/>
      <c r="O33" s="444"/>
      <c r="P33" s="444"/>
      <c r="Q33" s="444"/>
      <c r="R33" s="444"/>
      <c r="S33" s="444"/>
      <c r="T33" s="444"/>
      <c r="U33" s="444"/>
      <c r="V33" s="444"/>
      <c r="W33" s="444"/>
      <c r="X33" s="444"/>
      <c r="Y33" s="444"/>
      <c r="Z33" s="444"/>
      <c r="AA33" s="444"/>
      <c r="AB33" s="444"/>
      <c r="AC33" s="444"/>
      <c r="AD33" s="444"/>
      <c r="AE33" s="444"/>
      <c r="AF33" s="444"/>
      <c r="AG33" s="444"/>
    </row>
    <row r="34" spans="1:33" s="40" customFormat="1" x14ac:dyDescent="0.2">
      <c r="A34" s="333" t="s">
        <v>139</v>
      </c>
      <c r="B34" s="43">
        <f>((B36*$B$176)/$B$2)</f>
        <v>0.36129893275308267</v>
      </c>
      <c r="C34" s="43">
        <f t="shared" ref="C34:M34" si="13">((C36*$B$176)/$B$2)</f>
        <v>0.41291306600352301</v>
      </c>
      <c r="D34" s="43">
        <f t="shared" si="13"/>
        <v>0.41291306600352301</v>
      </c>
      <c r="E34" s="43">
        <f t="shared" si="13"/>
        <v>0.46452719925396335</v>
      </c>
      <c r="F34" s="43">
        <f t="shared" si="13"/>
        <v>0.46452719925396335</v>
      </c>
      <c r="G34" s="43">
        <f t="shared" si="13"/>
        <v>0.51614133250440375</v>
      </c>
      <c r="H34" s="43">
        <f t="shared" si="13"/>
        <v>0.51614133250440375</v>
      </c>
      <c r="I34" s="43">
        <f t="shared" si="13"/>
        <v>0.51614133250440375</v>
      </c>
      <c r="J34" s="43">
        <f t="shared" si="13"/>
        <v>0.51614133250440375</v>
      </c>
      <c r="K34" s="43">
        <f t="shared" si="13"/>
        <v>0.51614133250440375</v>
      </c>
      <c r="L34" s="43">
        <f t="shared" si="13"/>
        <v>0.51614133250440375</v>
      </c>
      <c r="M34" s="43">
        <f t="shared" si="13"/>
        <v>0.36129893275308267</v>
      </c>
      <c r="N34" s="444"/>
      <c r="O34" s="444"/>
      <c r="P34" s="444"/>
      <c r="Q34" s="444"/>
      <c r="R34" s="444"/>
      <c r="S34" s="444"/>
      <c r="T34" s="444"/>
      <c r="U34" s="444"/>
      <c r="V34" s="444"/>
      <c r="W34" s="444"/>
      <c r="X34" s="444"/>
      <c r="Y34" s="444"/>
      <c r="Z34" s="444"/>
      <c r="AA34" s="444"/>
      <c r="AB34" s="444"/>
      <c r="AC34" s="444"/>
      <c r="AD34" s="444"/>
      <c r="AE34" s="444"/>
      <c r="AF34" s="444"/>
      <c r="AG34" s="444"/>
    </row>
    <row r="35" spans="1:33" s="40" customFormat="1" x14ac:dyDescent="0.2">
      <c r="A35" s="205" t="s">
        <v>140</v>
      </c>
      <c r="B35" s="45">
        <f t="shared" ref="B35:M35" si="14">ROUND($B$2*B$32,2)</f>
        <v>0.7</v>
      </c>
      <c r="C35" s="45">
        <f t="shared" si="14"/>
        <v>0.8</v>
      </c>
      <c r="D35" s="45">
        <f t="shared" si="14"/>
        <v>0.8</v>
      </c>
      <c r="E35" s="45">
        <f t="shared" si="14"/>
        <v>0.9</v>
      </c>
      <c r="F35" s="45">
        <f t="shared" si="14"/>
        <v>0.9</v>
      </c>
      <c r="G35" s="45">
        <f t="shared" si="14"/>
        <v>1</v>
      </c>
      <c r="H35" s="45">
        <f t="shared" si="14"/>
        <v>1</v>
      </c>
      <c r="I35" s="45">
        <f t="shared" si="14"/>
        <v>1</v>
      </c>
      <c r="J35" s="45">
        <f t="shared" si="14"/>
        <v>1</v>
      </c>
      <c r="K35" s="45">
        <f t="shared" si="14"/>
        <v>1</v>
      </c>
      <c r="L35" s="45">
        <f t="shared" si="14"/>
        <v>1</v>
      </c>
      <c r="M35" s="45">
        <f t="shared" si="14"/>
        <v>0.7</v>
      </c>
      <c r="N35" s="310"/>
      <c r="O35" s="310"/>
      <c r="P35" s="310"/>
      <c r="Q35" s="310"/>
      <c r="R35" s="310"/>
      <c r="S35" s="310"/>
      <c r="T35" s="310"/>
      <c r="U35" s="310"/>
      <c r="V35" s="310"/>
      <c r="W35" s="310"/>
      <c r="X35" s="310"/>
      <c r="Y35" s="310"/>
      <c r="Z35" s="310"/>
      <c r="AA35" s="310"/>
      <c r="AB35" s="310"/>
      <c r="AC35" s="310"/>
      <c r="AD35" s="310"/>
      <c r="AE35" s="310"/>
      <c r="AF35" s="310"/>
      <c r="AG35" s="310"/>
    </row>
    <row r="36" spans="1:33" x14ac:dyDescent="0.2">
      <c r="A36" s="205" t="s">
        <v>141</v>
      </c>
      <c r="B36" s="45">
        <f t="shared" ref="B36:M36" si="15">ROUND( $B$2*B$33,2)</f>
        <v>0.56000000000000005</v>
      </c>
      <c r="C36" s="45">
        <f t="shared" si="15"/>
        <v>0.64</v>
      </c>
      <c r="D36" s="45">
        <f t="shared" si="15"/>
        <v>0.64</v>
      </c>
      <c r="E36" s="45">
        <f t="shared" si="15"/>
        <v>0.72</v>
      </c>
      <c r="F36" s="45">
        <f t="shared" si="15"/>
        <v>0.72</v>
      </c>
      <c r="G36" s="45">
        <f t="shared" si="15"/>
        <v>0.8</v>
      </c>
      <c r="H36" s="45">
        <f t="shared" si="15"/>
        <v>0.8</v>
      </c>
      <c r="I36" s="45">
        <f t="shared" si="15"/>
        <v>0.8</v>
      </c>
      <c r="J36" s="45">
        <f t="shared" si="15"/>
        <v>0.8</v>
      </c>
      <c r="K36" s="45">
        <f t="shared" si="15"/>
        <v>0.8</v>
      </c>
      <c r="L36" s="45">
        <f t="shared" si="15"/>
        <v>0.8</v>
      </c>
      <c r="M36" s="165">
        <f t="shared" si="15"/>
        <v>0.56000000000000005</v>
      </c>
      <c r="N36" s="310"/>
      <c r="O36" s="310"/>
      <c r="P36" s="310"/>
      <c r="Q36" s="310"/>
      <c r="R36" s="310"/>
      <c r="S36" s="310"/>
      <c r="T36" s="310"/>
      <c r="U36" s="310"/>
      <c r="V36" s="310"/>
      <c r="W36" s="310"/>
      <c r="X36" s="310"/>
      <c r="Y36" s="310"/>
      <c r="Z36" s="310"/>
      <c r="AA36" s="310"/>
      <c r="AB36" s="310"/>
      <c r="AC36" s="310"/>
      <c r="AD36" s="310"/>
      <c r="AE36" s="310"/>
      <c r="AF36" s="310"/>
      <c r="AG36" s="310"/>
    </row>
    <row r="37" spans="1:33" x14ac:dyDescent="0.2">
      <c r="A37" s="620" t="s">
        <v>142</v>
      </c>
      <c r="B37" s="671">
        <f>B34*$B$2</f>
        <v>0.36129893275308267</v>
      </c>
      <c r="C37" s="671">
        <f t="shared" ref="C37:M37" si="16">C34*$B$2</f>
        <v>0.41291306600352301</v>
      </c>
      <c r="D37" s="671">
        <f t="shared" si="16"/>
        <v>0.41291306600352301</v>
      </c>
      <c r="E37" s="671">
        <f t="shared" si="16"/>
        <v>0.46452719925396335</v>
      </c>
      <c r="F37" s="671">
        <f t="shared" si="16"/>
        <v>0.46452719925396335</v>
      </c>
      <c r="G37" s="671">
        <f t="shared" si="16"/>
        <v>0.51614133250440375</v>
      </c>
      <c r="H37" s="671">
        <f t="shared" si="16"/>
        <v>0.51614133250440375</v>
      </c>
      <c r="I37" s="671">
        <f t="shared" si="16"/>
        <v>0.51614133250440375</v>
      </c>
      <c r="J37" s="671">
        <f t="shared" si="16"/>
        <v>0.51614133250440375</v>
      </c>
      <c r="K37" s="671">
        <f t="shared" si="16"/>
        <v>0.51614133250440375</v>
      </c>
      <c r="L37" s="671">
        <f t="shared" si="16"/>
        <v>0.51614133250440375</v>
      </c>
      <c r="M37" s="671">
        <f t="shared" si="16"/>
        <v>0.36129893275308267</v>
      </c>
      <c r="N37" s="310"/>
      <c r="O37" s="310"/>
      <c r="P37" s="310"/>
      <c r="Q37" s="310"/>
      <c r="R37" s="310"/>
      <c r="S37" s="310"/>
      <c r="T37" s="310"/>
      <c r="U37" s="310"/>
      <c r="V37" s="310"/>
      <c r="W37" s="310"/>
      <c r="X37" s="310"/>
      <c r="Y37" s="310"/>
      <c r="Z37" s="310"/>
      <c r="AA37" s="310"/>
      <c r="AB37" s="310"/>
      <c r="AC37" s="310"/>
      <c r="AD37" s="310"/>
      <c r="AE37" s="310"/>
      <c r="AF37" s="310"/>
      <c r="AG37" s="310"/>
    </row>
    <row r="38" spans="1:33" ht="12.75" x14ac:dyDescent="0.2">
      <c r="A38" s="155" t="s">
        <v>143</v>
      </c>
      <c r="B38" s="638"/>
      <c r="C38" s="31"/>
      <c r="D38" s="31"/>
      <c r="E38" s="31"/>
      <c r="F38" s="31"/>
      <c r="G38" s="31"/>
      <c r="H38" s="31"/>
      <c r="I38" s="31"/>
      <c r="J38" s="31"/>
      <c r="K38" s="31"/>
      <c r="L38" s="33"/>
      <c r="M38" s="637"/>
      <c r="N38" s="403"/>
      <c r="O38" s="403"/>
      <c r="P38" s="403"/>
      <c r="Q38" s="403"/>
      <c r="R38" s="403"/>
      <c r="S38" s="403"/>
      <c r="T38" s="403"/>
      <c r="U38" s="403"/>
      <c r="V38" s="403"/>
      <c r="W38" s="403"/>
      <c r="X38" s="403"/>
      <c r="Y38" s="403"/>
      <c r="Z38" s="403"/>
      <c r="AA38" s="403"/>
      <c r="AB38" s="403"/>
      <c r="AC38" s="403"/>
      <c r="AD38" s="403"/>
      <c r="AE38" s="403"/>
      <c r="AF38" s="403"/>
      <c r="AG38" s="403"/>
    </row>
    <row r="39" spans="1:33" x14ac:dyDescent="0.2">
      <c r="A39" s="292" t="s">
        <v>144</v>
      </c>
      <c r="B39" s="633">
        <f>B$36*$B177</f>
        <v>0.20603543674230657</v>
      </c>
      <c r="C39" s="633">
        <f t="shared" ref="C39:M48" si="17">C$36*$B177</f>
        <v>0.23546907056263608</v>
      </c>
      <c r="D39" s="633">
        <f t="shared" si="17"/>
        <v>0.23546907056263608</v>
      </c>
      <c r="E39" s="633">
        <f t="shared" si="17"/>
        <v>0.26490270438296554</v>
      </c>
      <c r="F39" s="633">
        <f t="shared" si="17"/>
        <v>0.26490270438296554</v>
      </c>
      <c r="G39" s="633">
        <f t="shared" si="17"/>
        <v>0.29433633820329508</v>
      </c>
      <c r="H39" s="633">
        <f t="shared" si="17"/>
        <v>0.29433633820329508</v>
      </c>
      <c r="I39" s="633">
        <f t="shared" si="17"/>
        <v>0.29433633820329508</v>
      </c>
      <c r="J39" s="633">
        <f t="shared" si="17"/>
        <v>0.29433633820329508</v>
      </c>
      <c r="K39" s="633">
        <f t="shared" si="17"/>
        <v>0.29433633820329508</v>
      </c>
      <c r="L39" s="633">
        <f t="shared" si="17"/>
        <v>0.29433633820329508</v>
      </c>
      <c r="M39" s="633">
        <f t="shared" si="17"/>
        <v>0.20603543674230657</v>
      </c>
      <c r="N39" s="366"/>
      <c r="O39" s="366"/>
      <c r="P39" s="366"/>
      <c r="Q39" s="366"/>
      <c r="R39" s="366"/>
      <c r="S39" s="366"/>
      <c r="T39" s="366"/>
      <c r="U39" s="366"/>
      <c r="V39" s="366"/>
      <c r="W39" s="366"/>
      <c r="X39" s="366"/>
      <c r="Y39" s="366"/>
      <c r="Z39" s="366"/>
      <c r="AA39" s="366"/>
      <c r="AB39" s="366"/>
      <c r="AC39" s="366"/>
      <c r="AD39" s="366"/>
      <c r="AE39" s="366"/>
      <c r="AF39" s="366"/>
      <c r="AG39" s="366"/>
    </row>
    <row r="40" spans="1:33" x14ac:dyDescent="0.2">
      <c r="A40" s="292" t="s">
        <v>145</v>
      </c>
      <c r="B40" s="633">
        <f t="shared" ref="B40:M48" si="18">B$36*$B178</f>
        <v>0</v>
      </c>
      <c r="C40" s="633">
        <f t="shared" si="18"/>
        <v>0</v>
      </c>
      <c r="D40" s="633">
        <f t="shared" si="18"/>
        <v>0</v>
      </c>
      <c r="E40" s="633">
        <f t="shared" si="18"/>
        <v>0</v>
      </c>
      <c r="F40" s="633">
        <f t="shared" si="18"/>
        <v>0</v>
      </c>
      <c r="G40" s="633">
        <f t="shared" si="18"/>
        <v>0</v>
      </c>
      <c r="H40" s="633">
        <f t="shared" si="18"/>
        <v>0</v>
      </c>
      <c r="I40" s="633">
        <f t="shared" si="18"/>
        <v>0</v>
      </c>
      <c r="J40" s="633">
        <f t="shared" si="18"/>
        <v>0</v>
      </c>
      <c r="K40" s="633">
        <f t="shared" si="18"/>
        <v>0</v>
      </c>
      <c r="L40" s="633">
        <f t="shared" si="18"/>
        <v>0</v>
      </c>
      <c r="M40" s="633">
        <f t="shared" si="18"/>
        <v>0</v>
      </c>
      <c r="N40" s="455"/>
      <c r="O40" s="455"/>
      <c r="P40" s="455"/>
      <c r="Q40" s="455"/>
      <c r="R40" s="455"/>
      <c r="S40" s="455"/>
      <c r="T40" s="455"/>
      <c r="U40" s="455"/>
      <c r="V40" s="455"/>
      <c r="W40" s="455"/>
      <c r="X40" s="455"/>
      <c r="Y40" s="455"/>
      <c r="Z40" s="455"/>
      <c r="AA40" s="455"/>
      <c r="AB40" s="455"/>
      <c r="AC40" s="455"/>
      <c r="AD40" s="455"/>
      <c r="AE40" s="455"/>
      <c r="AF40" s="455"/>
      <c r="AG40" s="455"/>
    </row>
    <row r="41" spans="1:33" x14ac:dyDescent="0.2">
      <c r="A41" s="292" t="s">
        <v>146</v>
      </c>
      <c r="B41" s="633">
        <f t="shared" si="18"/>
        <v>0.31786136151694133</v>
      </c>
      <c r="C41" s="633">
        <f t="shared" si="17"/>
        <v>0.36327012744793297</v>
      </c>
      <c r="D41" s="633">
        <f t="shared" si="17"/>
        <v>0.36327012744793297</v>
      </c>
      <c r="E41" s="633">
        <f t="shared" si="17"/>
        <v>0.40867889337892455</v>
      </c>
      <c r="F41" s="633">
        <f t="shared" si="17"/>
        <v>0.40867889337892455</v>
      </c>
      <c r="G41" s="633">
        <f t="shared" si="17"/>
        <v>0.45408765930991618</v>
      </c>
      <c r="H41" s="633">
        <f t="shared" si="17"/>
        <v>0.45408765930991618</v>
      </c>
      <c r="I41" s="633">
        <f t="shared" si="17"/>
        <v>0.45408765930991618</v>
      </c>
      <c r="J41" s="633">
        <f t="shared" si="17"/>
        <v>0.45408765930991618</v>
      </c>
      <c r="K41" s="633">
        <f t="shared" si="17"/>
        <v>0.45408765930991618</v>
      </c>
      <c r="L41" s="633">
        <f t="shared" si="17"/>
        <v>0.45408765930991618</v>
      </c>
      <c r="M41" s="633">
        <f t="shared" si="17"/>
        <v>0.31786136151694133</v>
      </c>
      <c r="N41" s="366"/>
      <c r="O41" s="366"/>
      <c r="P41" s="366"/>
      <c r="Q41" s="366"/>
      <c r="R41" s="366"/>
      <c r="S41" s="366"/>
      <c r="T41" s="366"/>
      <c r="U41" s="366"/>
      <c r="V41" s="366"/>
      <c r="W41" s="366"/>
      <c r="X41" s="366"/>
      <c r="Y41" s="366"/>
      <c r="Z41" s="366"/>
      <c r="AA41" s="366"/>
      <c r="AB41" s="366"/>
      <c r="AC41" s="366"/>
      <c r="AD41" s="366"/>
      <c r="AE41" s="366"/>
      <c r="AF41" s="366"/>
      <c r="AG41" s="366"/>
    </row>
    <row r="42" spans="1:33" x14ac:dyDescent="0.2">
      <c r="A42" s="292" t="s">
        <v>147</v>
      </c>
      <c r="B42" s="633">
        <f t="shared" si="18"/>
        <v>0.31786136151694133</v>
      </c>
      <c r="C42" s="633">
        <f t="shared" si="17"/>
        <v>0.36327012744793297</v>
      </c>
      <c r="D42" s="633">
        <f t="shared" si="17"/>
        <v>0.36327012744793297</v>
      </c>
      <c r="E42" s="633">
        <f t="shared" si="17"/>
        <v>0.40867889337892455</v>
      </c>
      <c r="F42" s="633">
        <f t="shared" si="17"/>
        <v>0.40867889337892455</v>
      </c>
      <c r="G42" s="633">
        <f t="shared" si="17"/>
        <v>0.45408765930991618</v>
      </c>
      <c r="H42" s="633">
        <f t="shared" si="17"/>
        <v>0.45408765930991618</v>
      </c>
      <c r="I42" s="633">
        <f t="shared" si="17"/>
        <v>0.45408765930991618</v>
      </c>
      <c r="J42" s="633">
        <f t="shared" si="17"/>
        <v>0.45408765930991618</v>
      </c>
      <c r="K42" s="633">
        <f t="shared" si="17"/>
        <v>0.45408765930991618</v>
      </c>
      <c r="L42" s="633">
        <f t="shared" si="17"/>
        <v>0.45408765930991618</v>
      </c>
      <c r="M42" s="633">
        <f t="shared" si="17"/>
        <v>0.31786136151694133</v>
      </c>
      <c r="N42" s="366"/>
      <c r="O42" s="366"/>
      <c r="P42" s="366"/>
      <c r="Q42" s="366"/>
      <c r="R42" s="366"/>
      <c r="S42" s="366"/>
      <c r="T42" s="366"/>
      <c r="U42" s="366"/>
      <c r="V42" s="366"/>
      <c r="W42" s="366"/>
      <c r="X42" s="366"/>
      <c r="Y42" s="366"/>
      <c r="Z42" s="366"/>
      <c r="AA42" s="366"/>
      <c r="AB42" s="366"/>
      <c r="AC42" s="366"/>
      <c r="AD42" s="366"/>
      <c r="AE42" s="366"/>
      <c r="AF42" s="366"/>
      <c r="AG42" s="366"/>
    </row>
    <row r="43" spans="1:33" x14ac:dyDescent="0.2">
      <c r="A43" s="292" t="s">
        <v>148</v>
      </c>
      <c r="B43" s="633">
        <f t="shared" si="18"/>
        <v>0.13559589679825931</v>
      </c>
      <c r="C43" s="633">
        <f t="shared" si="17"/>
        <v>0.15496673919801063</v>
      </c>
      <c r="D43" s="633">
        <f t="shared" si="17"/>
        <v>0.15496673919801063</v>
      </c>
      <c r="E43" s="633">
        <f t="shared" si="17"/>
        <v>0.17433758159776194</v>
      </c>
      <c r="F43" s="633">
        <f t="shared" si="17"/>
        <v>0.17433758159776194</v>
      </c>
      <c r="G43" s="633">
        <f t="shared" si="17"/>
        <v>0.19370842399751328</v>
      </c>
      <c r="H43" s="633">
        <f t="shared" si="17"/>
        <v>0.19370842399751328</v>
      </c>
      <c r="I43" s="633">
        <f t="shared" si="17"/>
        <v>0.19370842399751328</v>
      </c>
      <c r="J43" s="633">
        <f t="shared" si="17"/>
        <v>0.19370842399751328</v>
      </c>
      <c r="K43" s="633">
        <f t="shared" si="17"/>
        <v>0.19370842399751328</v>
      </c>
      <c r="L43" s="633">
        <f t="shared" si="17"/>
        <v>0.19370842399751328</v>
      </c>
      <c r="M43" s="633">
        <f t="shared" si="17"/>
        <v>0.13559589679825931</v>
      </c>
      <c r="N43" s="366"/>
      <c r="O43" s="366"/>
      <c r="P43" s="366"/>
      <c r="Q43" s="366"/>
      <c r="R43" s="366"/>
      <c r="S43" s="366"/>
      <c r="T43" s="366"/>
      <c r="U43" s="366"/>
      <c r="V43" s="366"/>
      <c r="W43" s="366"/>
      <c r="X43" s="366"/>
      <c r="Y43" s="366"/>
      <c r="Z43" s="366"/>
      <c r="AA43" s="366"/>
      <c r="AB43" s="366"/>
      <c r="AC43" s="366"/>
      <c r="AD43" s="366"/>
      <c r="AE43" s="366"/>
      <c r="AF43" s="366"/>
      <c r="AG43" s="366"/>
    </row>
    <row r="44" spans="1:33" x14ac:dyDescent="0.2">
      <c r="A44" s="292" t="s">
        <v>149</v>
      </c>
      <c r="B44" s="633">
        <f t="shared" si="18"/>
        <v>0.13559589679825931</v>
      </c>
      <c r="C44" s="633">
        <f t="shared" si="17"/>
        <v>0.15496673919801063</v>
      </c>
      <c r="D44" s="633">
        <f t="shared" si="17"/>
        <v>0.15496673919801063</v>
      </c>
      <c r="E44" s="633">
        <f t="shared" si="17"/>
        <v>0.17433758159776194</v>
      </c>
      <c r="F44" s="633">
        <f t="shared" si="17"/>
        <v>0.17433758159776194</v>
      </c>
      <c r="G44" s="633">
        <f t="shared" si="17"/>
        <v>0.19370842399751328</v>
      </c>
      <c r="H44" s="633">
        <f t="shared" si="17"/>
        <v>0.19370842399751328</v>
      </c>
      <c r="I44" s="633">
        <f t="shared" si="17"/>
        <v>0.19370842399751328</v>
      </c>
      <c r="J44" s="633">
        <f t="shared" si="17"/>
        <v>0.19370842399751328</v>
      </c>
      <c r="K44" s="633">
        <f t="shared" si="17"/>
        <v>0.19370842399751328</v>
      </c>
      <c r="L44" s="633">
        <f t="shared" si="17"/>
        <v>0.19370842399751328</v>
      </c>
      <c r="M44" s="633">
        <f t="shared" si="17"/>
        <v>0.13559589679825931</v>
      </c>
      <c r="N44" s="366"/>
      <c r="O44" s="366"/>
      <c r="P44" s="366"/>
      <c r="Q44" s="366"/>
      <c r="R44" s="366"/>
      <c r="S44" s="366"/>
      <c r="T44" s="366"/>
      <c r="U44" s="366"/>
      <c r="V44" s="366"/>
      <c r="W44" s="366"/>
      <c r="X44" s="366"/>
      <c r="Y44" s="366"/>
      <c r="Z44" s="366"/>
      <c r="AA44" s="366"/>
      <c r="AB44" s="366"/>
      <c r="AC44" s="366"/>
      <c r="AD44" s="366"/>
      <c r="AE44" s="366"/>
      <c r="AF44" s="366"/>
      <c r="AG44" s="366"/>
    </row>
    <row r="45" spans="1:33" x14ac:dyDescent="0.2">
      <c r="A45" s="292" t="s">
        <v>150</v>
      </c>
      <c r="B45" s="633">
        <f t="shared" si="18"/>
        <v>0</v>
      </c>
      <c r="C45" s="633">
        <f t="shared" si="17"/>
        <v>0</v>
      </c>
      <c r="D45" s="633">
        <f t="shared" si="17"/>
        <v>0</v>
      </c>
      <c r="E45" s="633">
        <f t="shared" si="17"/>
        <v>0</v>
      </c>
      <c r="F45" s="633">
        <f t="shared" si="17"/>
        <v>0</v>
      </c>
      <c r="G45" s="633">
        <f t="shared" si="17"/>
        <v>0</v>
      </c>
      <c r="H45" s="633">
        <f t="shared" si="17"/>
        <v>0</v>
      </c>
      <c r="I45" s="633">
        <f t="shared" si="17"/>
        <v>0</v>
      </c>
      <c r="J45" s="633">
        <f t="shared" si="17"/>
        <v>0</v>
      </c>
      <c r="K45" s="633">
        <f t="shared" si="17"/>
        <v>0</v>
      </c>
      <c r="L45" s="633">
        <f t="shared" si="17"/>
        <v>0</v>
      </c>
      <c r="M45" s="633">
        <f t="shared" si="17"/>
        <v>0</v>
      </c>
      <c r="N45" s="366"/>
      <c r="O45" s="366"/>
      <c r="P45" s="366"/>
      <c r="Q45" s="366"/>
      <c r="R45" s="366"/>
      <c r="S45" s="366"/>
      <c r="T45" s="366"/>
      <c r="U45" s="366"/>
      <c r="V45" s="366"/>
      <c r="W45" s="366"/>
      <c r="X45" s="366"/>
      <c r="Y45" s="366"/>
      <c r="Z45" s="366"/>
      <c r="AA45" s="366"/>
      <c r="AB45" s="366"/>
      <c r="AC45" s="366"/>
      <c r="AD45" s="366"/>
      <c r="AE45" s="366"/>
      <c r="AF45" s="366"/>
      <c r="AG45" s="366"/>
    </row>
    <row r="46" spans="1:33" x14ac:dyDescent="0.2">
      <c r="A46" s="292" t="s">
        <v>151</v>
      </c>
      <c r="B46" s="633">
        <f t="shared" si="18"/>
        <v>0.31786136151694133</v>
      </c>
      <c r="C46" s="633">
        <f t="shared" si="17"/>
        <v>0.36327012744793297</v>
      </c>
      <c r="D46" s="633">
        <f t="shared" si="17"/>
        <v>0.36327012744793297</v>
      </c>
      <c r="E46" s="633">
        <f t="shared" si="17"/>
        <v>0.40867889337892455</v>
      </c>
      <c r="F46" s="633">
        <f t="shared" si="17"/>
        <v>0.40867889337892455</v>
      </c>
      <c r="G46" s="633">
        <f t="shared" si="17"/>
        <v>0.45408765930991618</v>
      </c>
      <c r="H46" s="633">
        <f t="shared" si="17"/>
        <v>0.45408765930991618</v>
      </c>
      <c r="I46" s="633">
        <f t="shared" si="17"/>
        <v>0.45408765930991618</v>
      </c>
      <c r="J46" s="633">
        <f t="shared" si="17"/>
        <v>0.45408765930991618</v>
      </c>
      <c r="K46" s="633">
        <f t="shared" si="17"/>
        <v>0.45408765930991618</v>
      </c>
      <c r="L46" s="633">
        <f t="shared" si="17"/>
        <v>0.45408765930991618</v>
      </c>
      <c r="M46" s="633">
        <f t="shared" si="17"/>
        <v>0.31786136151694133</v>
      </c>
      <c r="N46" s="366"/>
      <c r="O46" s="366"/>
      <c r="P46" s="366"/>
      <c r="Q46" s="366"/>
      <c r="R46" s="366"/>
      <c r="S46" s="366"/>
      <c r="T46" s="366"/>
      <c r="U46" s="366"/>
      <c r="V46" s="366"/>
      <c r="W46" s="366"/>
      <c r="X46" s="366"/>
      <c r="Y46" s="366"/>
      <c r="Z46" s="366"/>
      <c r="AA46" s="366"/>
      <c r="AB46" s="366"/>
      <c r="AC46" s="366"/>
      <c r="AD46" s="366"/>
      <c r="AE46" s="366"/>
      <c r="AF46" s="366"/>
      <c r="AG46" s="366"/>
    </row>
    <row r="47" spans="1:33" x14ac:dyDescent="0.2">
      <c r="A47" s="292" t="s">
        <v>152</v>
      </c>
      <c r="B47" s="633">
        <f>IF(B$13="Deploy",B$36,B$36*$B185)</f>
        <v>0.16580665216039797</v>
      </c>
      <c r="C47" s="633">
        <f t="shared" ref="C47:M47" si="19">IF(C$13="Deploy",C$36,C$36*$B185)</f>
        <v>0.18949331675474054</v>
      </c>
      <c r="D47" s="633">
        <f t="shared" si="19"/>
        <v>0.18949331675474054</v>
      </c>
      <c r="E47" s="633">
        <f t="shared" si="19"/>
        <v>0.21317998134908309</v>
      </c>
      <c r="F47" s="633">
        <f t="shared" si="19"/>
        <v>0.21317998134908309</v>
      </c>
      <c r="G47" s="633">
        <f t="shared" si="19"/>
        <v>0.8</v>
      </c>
      <c r="H47" s="633">
        <f t="shared" si="19"/>
        <v>0.8</v>
      </c>
      <c r="I47" s="633">
        <f t="shared" si="19"/>
        <v>0.8</v>
      </c>
      <c r="J47" s="633">
        <f t="shared" si="19"/>
        <v>0.8</v>
      </c>
      <c r="K47" s="633">
        <f t="shared" si="19"/>
        <v>0.8</v>
      </c>
      <c r="L47" s="633">
        <f t="shared" si="19"/>
        <v>0.8</v>
      </c>
      <c r="M47" s="633">
        <f t="shared" si="19"/>
        <v>0.16580665216039797</v>
      </c>
      <c r="N47" s="366"/>
      <c r="O47" s="366"/>
      <c r="P47" s="366"/>
      <c r="Q47" s="366"/>
      <c r="R47" s="366"/>
      <c r="S47" s="366"/>
      <c r="T47" s="366"/>
      <c r="U47" s="366"/>
      <c r="V47" s="366"/>
      <c r="W47" s="366"/>
      <c r="X47" s="366"/>
      <c r="Y47" s="366"/>
      <c r="Z47" s="366"/>
      <c r="AA47" s="366"/>
      <c r="AB47" s="366"/>
      <c r="AC47" s="366"/>
      <c r="AD47" s="366"/>
      <c r="AE47" s="366"/>
      <c r="AF47" s="366"/>
      <c r="AG47" s="366"/>
    </row>
    <row r="48" spans="1:33" ht="12.75" x14ac:dyDescent="0.2">
      <c r="A48" s="369" t="s">
        <v>153</v>
      </c>
      <c r="B48" s="633">
        <f t="shared" si="18"/>
        <v>0.56000000000000005</v>
      </c>
      <c r="C48" s="633">
        <f t="shared" si="17"/>
        <v>0.64</v>
      </c>
      <c r="D48" s="633">
        <f t="shared" si="17"/>
        <v>0.64</v>
      </c>
      <c r="E48" s="633">
        <f t="shared" si="17"/>
        <v>0.72</v>
      </c>
      <c r="F48" s="633">
        <f t="shared" si="17"/>
        <v>0.72</v>
      </c>
      <c r="G48" s="633">
        <f t="shared" si="17"/>
        <v>0.8</v>
      </c>
      <c r="H48" s="633">
        <f t="shared" si="17"/>
        <v>0.8</v>
      </c>
      <c r="I48" s="633">
        <f t="shared" si="17"/>
        <v>0.8</v>
      </c>
      <c r="J48" s="633">
        <f t="shared" si="17"/>
        <v>0.8</v>
      </c>
      <c r="K48" s="633">
        <f t="shared" si="17"/>
        <v>0.8</v>
      </c>
      <c r="L48" s="633">
        <f t="shared" si="17"/>
        <v>0.8</v>
      </c>
      <c r="M48" s="633">
        <f t="shared" si="17"/>
        <v>0.56000000000000005</v>
      </c>
      <c r="N48" s="366"/>
      <c r="O48" s="366"/>
      <c r="P48" s="366"/>
      <c r="Q48" s="366"/>
      <c r="R48" s="366"/>
      <c r="S48" s="366"/>
      <c r="T48" s="366"/>
      <c r="U48" s="366"/>
      <c r="V48" s="366"/>
      <c r="W48" s="366"/>
      <c r="X48" s="366"/>
      <c r="Y48" s="366"/>
      <c r="Z48" s="366"/>
      <c r="AA48" s="366"/>
      <c r="AB48" s="366"/>
      <c r="AC48" s="366"/>
      <c r="AD48" s="366"/>
      <c r="AE48" s="366"/>
      <c r="AF48" s="366"/>
      <c r="AG48" s="366"/>
    </row>
    <row r="49" spans="1:40" ht="12.75" x14ac:dyDescent="0.2">
      <c r="A49" s="153" t="s">
        <v>154</v>
      </c>
      <c r="B49" s="638"/>
      <c r="C49" s="31"/>
      <c r="D49" s="31"/>
      <c r="E49" s="31"/>
      <c r="F49" s="31"/>
      <c r="G49" s="31"/>
      <c r="H49" s="31"/>
      <c r="I49" s="31"/>
      <c r="J49" s="31"/>
      <c r="K49" s="31"/>
      <c r="L49" s="33"/>
      <c r="M49" s="83"/>
      <c r="N49" s="82"/>
      <c r="O49" s="82"/>
      <c r="P49" s="82"/>
      <c r="Q49" s="82"/>
      <c r="R49" s="82"/>
      <c r="S49" s="82"/>
      <c r="T49" s="82"/>
      <c r="U49" s="82"/>
      <c r="V49" s="82"/>
      <c r="W49" s="82"/>
      <c r="X49" s="82"/>
      <c r="Y49" s="82"/>
      <c r="Z49" s="82"/>
      <c r="AA49" s="82"/>
      <c r="AB49" s="82"/>
      <c r="AC49" s="82"/>
      <c r="AD49" s="82"/>
      <c r="AE49" s="82"/>
      <c r="AF49" s="82"/>
      <c r="AG49" s="82"/>
    </row>
    <row r="50" spans="1:40" x14ac:dyDescent="0.2">
      <c r="A50" s="293" t="s">
        <v>155</v>
      </c>
      <c r="B50" s="46">
        <f>2*B$32</f>
        <v>1.4</v>
      </c>
      <c r="C50" s="46">
        <f t="shared" ref="C50:L50" si="20">2*C$32</f>
        <v>1.6</v>
      </c>
      <c r="D50" s="46">
        <f t="shared" si="20"/>
        <v>1.6</v>
      </c>
      <c r="E50" s="46">
        <f t="shared" si="20"/>
        <v>1.8</v>
      </c>
      <c r="F50" s="46">
        <f t="shared" si="20"/>
        <v>1.8</v>
      </c>
      <c r="G50" s="46">
        <f t="shared" si="20"/>
        <v>2</v>
      </c>
      <c r="H50" s="46">
        <f t="shared" si="20"/>
        <v>2</v>
      </c>
      <c r="I50" s="46">
        <f t="shared" si="20"/>
        <v>2</v>
      </c>
      <c r="J50" s="46">
        <f t="shared" si="20"/>
        <v>2</v>
      </c>
      <c r="K50" s="46">
        <f t="shared" si="20"/>
        <v>2</v>
      </c>
      <c r="L50" s="46">
        <f t="shared" si="20"/>
        <v>2</v>
      </c>
      <c r="M50" s="46">
        <f>2*M$32</f>
        <v>1.4</v>
      </c>
      <c r="N50" s="445"/>
      <c r="O50" s="445"/>
      <c r="P50" s="445"/>
      <c r="Q50" s="445"/>
      <c r="R50" s="445"/>
      <c r="S50" s="445"/>
      <c r="T50" s="445"/>
      <c r="U50" s="445"/>
      <c r="V50" s="445"/>
      <c r="W50" s="445"/>
      <c r="X50" s="445"/>
      <c r="Y50" s="445"/>
      <c r="Z50" s="445"/>
      <c r="AA50" s="445"/>
      <c r="AB50" s="445"/>
      <c r="AC50" s="445"/>
      <c r="AD50" s="445"/>
      <c r="AE50" s="445"/>
      <c r="AF50" s="445"/>
      <c r="AG50" s="445"/>
    </row>
    <row r="51" spans="1:40" x14ac:dyDescent="0.2">
      <c r="A51" s="294" t="s">
        <v>156</v>
      </c>
      <c r="B51" s="52">
        <f t="shared" ref="B51:L51" si="21">B50*0.8</f>
        <v>1.1199999999999999</v>
      </c>
      <c r="C51" s="52">
        <f t="shared" si="21"/>
        <v>1.2800000000000002</v>
      </c>
      <c r="D51" s="52">
        <f t="shared" si="21"/>
        <v>1.2800000000000002</v>
      </c>
      <c r="E51" s="52">
        <f t="shared" si="21"/>
        <v>1.4400000000000002</v>
      </c>
      <c r="F51" s="52">
        <f t="shared" si="21"/>
        <v>1.4400000000000002</v>
      </c>
      <c r="G51" s="52">
        <f t="shared" si="21"/>
        <v>1.6</v>
      </c>
      <c r="H51" s="52">
        <f t="shared" si="21"/>
        <v>1.6</v>
      </c>
      <c r="I51" s="52">
        <f t="shared" si="21"/>
        <v>1.6</v>
      </c>
      <c r="J51" s="52">
        <f t="shared" si="21"/>
        <v>1.6</v>
      </c>
      <c r="K51" s="52">
        <f t="shared" si="21"/>
        <v>1.6</v>
      </c>
      <c r="L51" s="52">
        <f t="shared" si="21"/>
        <v>1.6</v>
      </c>
      <c r="M51" s="52">
        <f>M50*0.8</f>
        <v>1.1199999999999999</v>
      </c>
      <c r="N51" s="445"/>
      <c r="O51" s="445"/>
      <c r="P51" s="445"/>
      <c r="Q51" s="445"/>
      <c r="R51" s="445"/>
      <c r="S51" s="445"/>
      <c r="T51" s="445"/>
      <c r="U51" s="445"/>
      <c r="V51" s="445"/>
      <c r="W51" s="445"/>
      <c r="X51" s="445"/>
      <c r="Y51" s="445"/>
      <c r="Z51" s="445"/>
      <c r="AA51" s="445"/>
      <c r="AB51" s="445"/>
      <c r="AC51" s="445"/>
      <c r="AD51" s="445"/>
      <c r="AE51" s="445"/>
      <c r="AF51" s="445"/>
      <c r="AG51" s="445"/>
      <c r="AH51" s="40"/>
      <c r="AI51" s="40"/>
      <c r="AJ51" s="40"/>
      <c r="AK51" s="40"/>
      <c r="AL51" s="40"/>
      <c r="AM51" s="40"/>
      <c r="AN51" s="40"/>
    </row>
    <row r="52" spans="1:40" x14ac:dyDescent="0.2">
      <c r="A52" s="293" t="s">
        <v>157</v>
      </c>
      <c r="B52" s="46">
        <v>0</v>
      </c>
      <c r="C52" s="46">
        <v>0</v>
      </c>
      <c r="D52" s="46">
        <v>0</v>
      </c>
      <c r="E52" s="46">
        <v>0</v>
      </c>
      <c r="F52" s="46">
        <v>0</v>
      </c>
      <c r="G52" s="46">
        <v>0</v>
      </c>
      <c r="H52" s="46">
        <v>0</v>
      </c>
      <c r="I52" s="46">
        <v>0</v>
      </c>
      <c r="J52" s="46">
        <v>0</v>
      </c>
      <c r="K52" s="46">
        <v>0</v>
      </c>
      <c r="L52" s="46">
        <v>0</v>
      </c>
      <c r="M52" s="46">
        <v>0</v>
      </c>
      <c r="N52" s="445"/>
      <c r="O52" s="445"/>
      <c r="P52" s="445"/>
      <c r="Q52" s="445"/>
      <c r="R52" s="445"/>
      <c r="S52" s="445"/>
      <c r="T52" s="445"/>
      <c r="U52" s="445"/>
      <c r="V52" s="445"/>
      <c r="W52" s="445"/>
      <c r="X52" s="445"/>
      <c r="Y52" s="445"/>
      <c r="Z52" s="445"/>
      <c r="AA52" s="445"/>
      <c r="AB52" s="445"/>
      <c r="AC52" s="445"/>
      <c r="AD52" s="445"/>
      <c r="AE52" s="445"/>
      <c r="AF52" s="445"/>
      <c r="AG52" s="445"/>
      <c r="AH52" s="40"/>
      <c r="AI52" s="40"/>
      <c r="AJ52" s="40"/>
      <c r="AK52" s="40"/>
      <c r="AL52" s="40"/>
      <c r="AM52" s="40"/>
      <c r="AN52" s="40"/>
    </row>
    <row r="53" spans="1:40" x14ac:dyDescent="0.2">
      <c r="A53" s="294" t="s">
        <v>158</v>
      </c>
      <c r="B53" s="52">
        <v>0</v>
      </c>
      <c r="C53" s="52">
        <v>0</v>
      </c>
      <c r="D53" s="52">
        <v>0</v>
      </c>
      <c r="E53" s="52">
        <v>0</v>
      </c>
      <c r="F53" s="52">
        <v>0</v>
      </c>
      <c r="G53" s="52">
        <v>0</v>
      </c>
      <c r="H53" s="52">
        <v>0</v>
      </c>
      <c r="I53" s="52">
        <v>0</v>
      </c>
      <c r="J53" s="52">
        <v>0</v>
      </c>
      <c r="K53" s="52">
        <v>0</v>
      </c>
      <c r="L53" s="52">
        <v>0</v>
      </c>
      <c r="M53" s="52">
        <v>0</v>
      </c>
      <c r="N53" s="445"/>
      <c r="O53" s="445"/>
      <c r="P53" s="445"/>
      <c r="Q53" s="445"/>
      <c r="R53" s="445"/>
      <c r="S53" s="445"/>
      <c r="T53" s="445"/>
      <c r="U53" s="445"/>
      <c r="V53" s="445"/>
      <c r="W53" s="445"/>
      <c r="X53" s="445"/>
      <c r="Y53" s="445"/>
      <c r="Z53" s="445"/>
      <c r="AA53" s="445"/>
      <c r="AB53" s="445"/>
      <c r="AC53" s="445"/>
      <c r="AD53" s="445"/>
      <c r="AE53" s="445"/>
      <c r="AF53" s="445"/>
      <c r="AG53" s="445"/>
      <c r="AH53" s="40"/>
      <c r="AI53" s="40"/>
      <c r="AJ53" s="40"/>
      <c r="AK53" s="40"/>
      <c r="AL53" s="40"/>
      <c r="AM53" s="40"/>
      <c r="AN53" s="40"/>
    </row>
    <row r="54" spans="1:40" s="40" customFormat="1" x14ac:dyDescent="0.2">
      <c r="A54" s="293" t="s">
        <v>159</v>
      </c>
      <c r="B54" s="46">
        <f t="shared" ref="B54:L54" si="22">2*B$32</f>
        <v>1.4</v>
      </c>
      <c r="C54" s="46">
        <f t="shared" si="22"/>
        <v>1.6</v>
      </c>
      <c r="D54" s="46">
        <f t="shared" si="22"/>
        <v>1.6</v>
      </c>
      <c r="E54" s="46">
        <f t="shared" si="22"/>
        <v>1.8</v>
      </c>
      <c r="F54" s="46">
        <f t="shared" si="22"/>
        <v>1.8</v>
      </c>
      <c r="G54" s="46">
        <f t="shared" si="22"/>
        <v>2</v>
      </c>
      <c r="H54" s="46">
        <f t="shared" si="22"/>
        <v>2</v>
      </c>
      <c r="I54" s="46">
        <f t="shared" si="22"/>
        <v>2</v>
      </c>
      <c r="J54" s="46">
        <f t="shared" si="22"/>
        <v>2</v>
      </c>
      <c r="K54" s="46">
        <f t="shared" si="22"/>
        <v>2</v>
      </c>
      <c r="L54" s="46">
        <f t="shared" si="22"/>
        <v>2</v>
      </c>
      <c r="M54" s="46">
        <f>2*M$32</f>
        <v>1.4</v>
      </c>
      <c r="N54" s="445"/>
      <c r="O54" s="445"/>
      <c r="P54" s="445"/>
      <c r="Q54" s="445"/>
      <c r="R54" s="445"/>
      <c r="S54" s="445"/>
      <c r="T54" s="445"/>
      <c r="U54" s="445"/>
      <c r="V54" s="445"/>
      <c r="W54" s="445"/>
      <c r="X54" s="445"/>
      <c r="Y54" s="445"/>
      <c r="Z54" s="445"/>
      <c r="AA54" s="445"/>
      <c r="AB54" s="445"/>
      <c r="AC54" s="445"/>
      <c r="AD54" s="445"/>
      <c r="AE54" s="445"/>
      <c r="AF54" s="445"/>
      <c r="AG54" s="445"/>
    </row>
    <row r="55" spans="1:40" s="40" customFormat="1" x14ac:dyDescent="0.2">
      <c r="A55" s="294" t="s">
        <v>160</v>
      </c>
      <c r="B55" s="52">
        <f t="shared" ref="B55:L55" si="23">B54*0.8</f>
        <v>1.1199999999999999</v>
      </c>
      <c r="C55" s="52">
        <f t="shared" si="23"/>
        <v>1.2800000000000002</v>
      </c>
      <c r="D55" s="52">
        <f t="shared" si="23"/>
        <v>1.2800000000000002</v>
      </c>
      <c r="E55" s="52">
        <f t="shared" si="23"/>
        <v>1.4400000000000002</v>
      </c>
      <c r="F55" s="52">
        <f t="shared" si="23"/>
        <v>1.4400000000000002</v>
      </c>
      <c r="G55" s="52">
        <f t="shared" si="23"/>
        <v>1.6</v>
      </c>
      <c r="H55" s="52">
        <f t="shared" si="23"/>
        <v>1.6</v>
      </c>
      <c r="I55" s="52">
        <f t="shared" si="23"/>
        <v>1.6</v>
      </c>
      <c r="J55" s="52">
        <f t="shared" si="23"/>
        <v>1.6</v>
      </c>
      <c r="K55" s="52">
        <f t="shared" si="23"/>
        <v>1.6</v>
      </c>
      <c r="L55" s="52">
        <f t="shared" si="23"/>
        <v>1.6</v>
      </c>
      <c r="M55" s="52">
        <f>M54*0.8</f>
        <v>1.1199999999999999</v>
      </c>
      <c r="N55" s="445"/>
      <c r="O55" s="445"/>
      <c r="P55" s="445"/>
      <c r="Q55" s="445"/>
      <c r="R55" s="445"/>
      <c r="S55" s="445"/>
      <c r="T55" s="445"/>
      <c r="U55" s="445"/>
      <c r="V55" s="445"/>
      <c r="W55" s="445"/>
      <c r="X55" s="445"/>
      <c r="Y55" s="445"/>
      <c r="Z55" s="445"/>
      <c r="AA55" s="445"/>
      <c r="AB55" s="445"/>
      <c r="AC55" s="445"/>
      <c r="AD55" s="445"/>
      <c r="AE55" s="445"/>
      <c r="AF55" s="445"/>
      <c r="AG55" s="445"/>
    </row>
    <row r="56" spans="1:40" s="40" customFormat="1" x14ac:dyDescent="0.2">
      <c r="A56" s="293" t="s">
        <v>161</v>
      </c>
      <c r="B56" s="46">
        <f>3*B$32</f>
        <v>2.0999999999999996</v>
      </c>
      <c r="C56" s="46">
        <f t="shared" ref="C56:M56" si="24">3*C$32</f>
        <v>2.4000000000000004</v>
      </c>
      <c r="D56" s="46">
        <f t="shared" si="24"/>
        <v>2.4000000000000004</v>
      </c>
      <c r="E56" s="46">
        <f t="shared" si="24"/>
        <v>2.7</v>
      </c>
      <c r="F56" s="46">
        <f t="shared" si="24"/>
        <v>2.7</v>
      </c>
      <c r="G56" s="46">
        <f t="shared" si="24"/>
        <v>3</v>
      </c>
      <c r="H56" s="46">
        <f t="shared" si="24"/>
        <v>3</v>
      </c>
      <c r="I56" s="46">
        <f t="shared" si="24"/>
        <v>3</v>
      </c>
      <c r="J56" s="46">
        <f t="shared" si="24"/>
        <v>3</v>
      </c>
      <c r="K56" s="46">
        <f t="shared" si="24"/>
        <v>3</v>
      </c>
      <c r="L56" s="46">
        <f t="shared" si="24"/>
        <v>3</v>
      </c>
      <c r="M56" s="46">
        <f t="shared" si="24"/>
        <v>2.0999999999999996</v>
      </c>
      <c r="N56" s="445"/>
      <c r="O56" s="445"/>
      <c r="P56" s="445"/>
      <c r="Q56" s="445"/>
      <c r="R56" s="445"/>
      <c r="S56" s="445"/>
      <c r="T56" s="445"/>
      <c r="U56" s="445"/>
      <c r="V56" s="445"/>
      <c r="W56" s="445"/>
      <c r="X56" s="445"/>
      <c r="Y56" s="445"/>
      <c r="Z56" s="445"/>
      <c r="AA56" s="445"/>
      <c r="AB56" s="445"/>
      <c r="AC56" s="445"/>
      <c r="AD56" s="445"/>
      <c r="AE56" s="445"/>
      <c r="AF56" s="445"/>
      <c r="AG56" s="445"/>
    </row>
    <row r="57" spans="1:40" s="40" customFormat="1" x14ac:dyDescent="0.2">
      <c r="A57" s="294" t="s">
        <v>162</v>
      </c>
      <c r="B57" s="52">
        <f t="shared" ref="B57:L57" si="25">B56*0.8</f>
        <v>1.6799999999999997</v>
      </c>
      <c r="C57" s="52">
        <f t="shared" si="25"/>
        <v>1.9200000000000004</v>
      </c>
      <c r="D57" s="52">
        <f t="shared" si="25"/>
        <v>1.9200000000000004</v>
      </c>
      <c r="E57" s="52">
        <f t="shared" si="25"/>
        <v>2.16</v>
      </c>
      <c r="F57" s="52">
        <f t="shared" si="25"/>
        <v>2.16</v>
      </c>
      <c r="G57" s="52">
        <f t="shared" si="25"/>
        <v>2.4000000000000004</v>
      </c>
      <c r="H57" s="52">
        <f t="shared" si="25"/>
        <v>2.4000000000000004</v>
      </c>
      <c r="I57" s="52">
        <f t="shared" si="25"/>
        <v>2.4000000000000004</v>
      </c>
      <c r="J57" s="52">
        <f t="shared" si="25"/>
        <v>2.4000000000000004</v>
      </c>
      <c r="K57" s="52">
        <f t="shared" si="25"/>
        <v>2.4000000000000004</v>
      </c>
      <c r="L57" s="52">
        <f t="shared" si="25"/>
        <v>2.4000000000000004</v>
      </c>
      <c r="M57" s="52">
        <f>M56*0.8</f>
        <v>1.6799999999999997</v>
      </c>
      <c r="N57" s="445"/>
      <c r="O57" s="445"/>
      <c r="P57" s="445"/>
      <c r="Q57" s="445"/>
      <c r="R57" s="445"/>
      <c r="S57" s="445"/>
      <c r="T57" s="445"/>
      <c r="U57" s="445"/>
      <c r="V57" s="445"/>
      <c r="W57" s="445"/>
      <c r="X57" s="445"/>
      <c r="Y57" s="445"/>
      <c r="Z57" s="445"/>
      <c r="AA57" s="445"/>
      <c r="AB57" s="445"/>
      <c r="AC57" s="445"/>
      <c r="AD57" s="445"/>
      <c r="AE57" s="445"/>
      <c r="AF57" s="445"/>
      <c r="AG57" s="445"/>
    </row>
    <row r="58" spans="1:40" s="40" customFormat="1" x14ac:dyDescent="0.2">
      <c r="A58" s="293" t="s">
        <v>163</v>
      </c>
      <c r="B58" s="46">
        <v>0</v>
      </c>
      <c r="C58" s="46">
        <v>0</v>
      </c>
      <c r="D58" s="46">
        <v>0</v>
      </c>
      <c r="E58" s="46">
        <v>0</v>
      </c>
      <c r="F58" s="46">
        <v>0</v>
      </c>
      <c r="G58" s="46">
        <v>0</v>
      </c>
      <c r="H58" s="46">
        <v>0</v>
      </c>
      <c r="I58" s="46">
        <v>0</v>
      </c>
      <c r="J58" s="46">
        <v>0</v>
      </c>
      <c r="K58" s="46">
        <v>0</v>
      </c>
      <c r="L58" s="46">
        <v>0</v>
      </c>
      <c r="M58" s="46">
        <v>0</v>
      </c>
      <c r="N58" s="445"/>
      <c r="O58" s="445"/>
      <c r="P58" s="445"/>
      <c r="Q58" s="445"/>
      <c r="R58" s="445"/>
      <c r="S58" s="445"/>
      <c r="T58" s="445"/>
      <c r="U58" s="445"/>
      <c r="V58" s="445"/>
      <c r="W58" s="445"/>
      <c r="X58" s="445"/>
      <c r="Y58" s="445"/>
      <c r="Z58" s="445"/>
      <c r="AA58" s="445"/>
      <c r="AB58" s="445"/>
      <c r="AC58" s="445"/>
      <c r="AD58" s="445"/>
      <c r="AE58" s="445"/>
      <c r="AF58" s="445"/>
      <c r="AG58" s="445"/>
    </row>
    <row r="59" spans="1:40" s="40" customFormat="1" x14ac:dyDescent="0.2">
      <c r="A59" s="294" t="s">
        <v>164</v>
      </c>
      <c r="B59" s="52">
        <v>0</v>
      </c>
      <c r="C59" s="52">
        <v>0</v>
      </c>
      <c r="D59" s="52">
        <v>0</v>
      </c>
      <c r="E59" s="52">
        <v>0</v>
      </c>
      <c r="F59" s="52">
        <v>0</v>
      </c>
      <c r="G59" s="52">
        <v>0</v>
      </c>
      <c r="H59" s="52">
        <v>0</v>
      </c>
      <c r="I59" s="52">
        <v>0</v>
      </c>
      <c r="J59" s="52">
        <v>0</v>
      </c>
      <c r="K59" s="52">
        <v>0</v>
      </c>
      <c r="L59" s="52">
        <v>0</v>
      </c>
      <c r="M59" s="52">
        <v>0</v>
      </c>
      <c r="N59" s="445"/>
      <c r="O59" s="445"/>
      <c r="P59" s="445"/>
      <c r="Q59" s="445"/>
      <c r="R59" s="445"/>
      <c r="S59" s="445"/>
      <c r="T59" s="445"/>
      <c r="U59" s="445"/>
      <c r="V59" s="445"/>
      <c r="W59" s="445"/>
      <c r="X59" s="445"/>
      <c r="Y59" s="445"/>
      <c r="Z59" s="445"/>
      <c r="AA59" s="445"/>
      <c r="AB59" s="445"/>
      <c r="AC59" s="445"/>
      <c r="AD59" s="445"/>
      <c r="AE59" s="445"/>
      <c r="AF59" s="445"/>
      <c r="AG59" s="445"/>
    </row>
    <row r="60" spans="1:40" x14ac:dyDescent="0.2">
      <c r="A60" s="29" t="s">
        <v>165</v>
      </c>
      <c r="B60" s="638"/>
      <c r="C60" s="31"/>
      <c r="D60" s="31"/>
      <c r="E60" s="31"/>
      <c r="F60" s="31"/>
      <c r="G60" s="31"/>
      <c r="H60" s="31"/>
      <c r="I60" s="31"/>
      <c r="J60" s="31"/>
      <c r="K60" s="31"/>
      <c r="L60" s="33"/>
      <c r="M60" s="87"/>
      <c r="N60" s="61"/>
      <c r="O60" s="61"/>
      <c r="P60" s="61"/>
      <c r="Q60" s="61"/>
      <c r="R60" s="61"/>
      <c r="S60" s="61"/>
      <c r="T60" s="61"/>
      <c r="U60" s="61"/>
      <c r="V60" s="61"/>
      <c r="W60" s="61"/>
      <c r="X60" s="61"/>
      <c r="Y60" s="61"/>
      <c r="Z60" s="61"/>
      <c r="AA60" s="61"/>
      <c r="AB60" s="61"/>
      <c r="AC60" s="61"/>
      <c r="AD60" s="61"/>
      <c r="AE60" s="61"/>
      <c r="AF60" s="61"/>
      <c r="AG60" s="61"/>
      <c r="AH60" s="40"/>
      <c r="AI60" s="40"/>
      <c r="AJ60" s="40"/>
      <c r="AK60" s="40"/>
      <c r="AL60" s="40"/>
      <c r="AM60" s="40"/>
      <c r="AN60" s="40"/>
    </row>
    <row r="61" spans="1:40" x14ac:dyDescent="0.2">
      <c r="A61" s="36" t="str">
        <f>A110</f>
        <v>Pilot Upper Limit</v>
      </c>
      <c r="B61" s="145">
        <f>$B110</f>
        <v>4</v>
      </c>
      <c r="C61" s="145">
        <f t="shared" ref="C61:M61" si="26">$B110</f>
        <v>4</v>
      </c>
      <c r="D61" s="145">
        <f t="shared" si="26"/>
        <v>4</v>
      </c>
      <c r="E61" s="145">
        <f t="shared" si="26"/>
        <v>4</v>
      </c>
      <c r="F61" s="145">
        <f t="shared" si="26"/>
        <v>4</v>
      </c>
      <c r="G61" s="145">
        <f t="shared" si="26"/>
        <v>4</v>
      </c>
      <c r="H61" s="145">
        <f t="shared" si="26"/>
        <v>4</v>
      </c>
      <c r="I61" s="145">
        <f t="shared" si="26"/>
        <v>4</v>
      </c>
      <c r="J61" s="145">
        <f t="shared" si="26"/>
        <v>4</v>
      </c>
      <c r="K61" s="145">
        <f t="shared" si="26"/>
        <v>4</v>
      </c>
      <c r="L61" s="145">
        <f t="shared" si="26"/>
        <v>4</v>
      </c>
      <c r="M61" s="145">
        <f t="shared" si="26"/>
        <v>4</v>
      </c>
      <c r="N61" s="61"/>
      <c r="O61" s="61"/>
      <c r="P61" s="61"/>
      <c r="Q61" s="61"/>
      <c r="R61" s="61"/>
      <c r="S61" s="61"/>
      <c r="T61" s="61"/>
      <c r="U61" s="61"/>
      <c r="V61" s="61"/>
      <c r="W61" s="61"/>
      <c r="X61" s="61"/>
      <c r="Y61" s="61"/>
      <c r="Z61" s="61"/>
      <c r="AA61" s="61"/>
      <c r="AB61" s="61"/>
      <c r="AC61" s="61"/>
      <c r="AD61" s="61"/>
      <c r="AE61" s="61"/>
      <c r="AF61" s="61"/>
      <c r="AG61" s="61"/>
      <c r="AH61" s="40"/>
      <c r="AI61" s="40"/>
      <c r="AJ61" s="40"/>
      <c r="AK61" s="40"/>
      <c r="AL61" s="40"/>
      <c r="AM61" s="40"/>
      <c r="AN61" s="40"/>
    </row>
    <row r="62" spans="1:40" x14ac:dyDescent="0.2">
      <c r="A62" s="36" t="str">
        <f t="shared" ref="A62:A92" si="27">A111</f>
        <v>Pilot Lower Limit</v>
      </c>
      <c r="B62" s="146">
        <f>IF($B111 = 0,"N/A",ROUNDUP(IF(B$13="Deploy",MAX((B$104/100)*$B111,$B111),(B$104/100)*$B111),0))</f>
        <v>2</v>
      </c>
      <c r="C62" s="146">
        <f t="shared" ref="C62:M62" si="28">IF($B111 = 0,"N/A",ROUNDUP(IF(C$13="Deploy",MAX((C$104/100)*$B111,$B111),(C$104/100)*$B111),0))</f>
        <v>2</v>
      </c>
      <c r="D62" s="146">
        <f t="shared" si="28"/>
        <v>2</v>
      </c>
      <c r="E62" s="146">
        <f t="shared" si="28"/>
        <v>3</v>
      </c>
      <c r="F62" s="146">
        <f t="shared" si="28"/>
        <v>3</v>
      </c>
      <c r="G62" s="146">
        <f t="shared" si="28"/>
        <v>4</v>
      </c>
      <c r="H62" s="146">
        <f t="shared" si="28"/>
        <v>4</v>
      </c>
      <c r="I62" s="146">
        <f t="shared" si="28"/>
        <v>4</v>
      </c>
      <c r="J62" s="146">
        <f t="shared" si="28"/>
        <v>4</v>
      </c>
      <c r="K62" s="146">
        <f t="shared" si="28"/>
        <v>4</v>
      </c>
      <c r="L62" s="146">
        <f t="shared" si="28"/>
        <v>4</v>
      </c>
      <c r="M62" s="146">
        <f t="shared" si="28"/>
        <v>2</v>
      </c>
      <c r="N62" s="61"/>
      <c r="O62" s="61"/>
      <c r="P62" s="61"/>
      <c r="Q62" s="61"/>
      <c r="R62" s="61"/>
      <c r="S62" s="61"/>
      <c r="T62" s="61"/>
      <c r="U62" s="61"/>
      <c r="V62" s="61"/>
      <c r="W62" s="61"/>
      <c r="X62" s="61"/>
      <c r="Y62" s="61"/>
      <c r="Z62" s="61"/>
      <c r="AA62" s="61"/>
      <c r="AB62" s="61"/>
      <c r="AC62" s="61"/>
      <c r="AD62" s="61"/>
      <c r="AE62" s="61"/>
      <c r="AF62" s="61"/>
      <c r="AG62" s="61"/>
      <c r="AH62" s="40"/>
      <c r="AI62" s="40"/>
      <c r="AJ62" s="40"/>
      <c r="AK62" s="40"/>
      <c r="AL62" s="40"/>
      <c r="AM62" s="40"/>
      <c r="AN62" s="40"/>
    </row>
    <row r="63" spans="1:40" x14ac:dyDescent="0.2">
      <c r="A63" s="36" t="str">
        <f t="shared" si="27"/>
        <v>MRWMC Pilots</v>
      </c>
      <c r="B63" s="146" t="str">
        <f t="shared" ref="B63:B77" si="29">IF($B112 = "NA","NA",ROUNDUP(IF(B$13="Deploy",MAX((B$104/100)*$B112,$B112),(B$104/100)*$B112),0))</f>
        <v>NA</v>
      </c>
      <c r="C63" s="146" t="str">
        <f t="shared" ref="C63:M63" si="30">IF($B112 = "NA","NA",ROUNDUP(IF(C$13="Deploy",MAX((C$104/100)*$B112,$B112),(C$104/100)*$B112),0))</f>
        <v>NA</v>
      </c>
      <c r="D63" s="146" t="str">
        <f t="shared" si="30"/>
        <v>NA</v>
      </c>
      <c r="E63" s="146" t="str">
        <f t="shared" si="30"/>
        <v>NA</v>
      </c>
      <c r="F63" s="146" t="str">
        <f t="shared" si="30"/>
        <v>NA</v>
      </c>
      <c r="G63" s="146" t="str">
        <f t="shared" si="30"/>
        <v>NA</v>
      </c>
      <c r="H63" s="146" t="str">
        <f t="shared" si="30"/>
        <v>NA</v>
      </c>
      <c r="I63" s="146" t="str">
        <f t="shared" si="30"/>
        <v>NA</v>
      </c>
      <c r="J63" s="146" t="str">
        <f t="shared" si="30"/>
        <v>NA</v>
      </c>
      <c r="K63" s="146" t="str">
        <f t="shared" si="30"/>
        <v>NA</v>
      </c>
      <c r="L63" s="146" t="str">
        <f t="shared" si="30"/>
        <v>NA</v>
      </c>
      <c r="M63" s="146" t="str">
        <f t="shared" si="30"/>
        <v>NA</v>
      </c>
      <c r="N63" s="61"/>
      <c r="O63" s="61"/>
      <c r="P63" s="61"/>
      <c r="Q63" s="61"/>
      <c r="R63" s="61"/>
      <c r="S63" s="61"/>
      <c r="T63" s="61"/>
      <c r="U63" s="61"/>
      <c r="V63" s="61"/>
      <c r="W63" s="61"/>
      <c r="X63" s="61"/>
      <c r="Y63" s="61"/>
      <c r="Z63" s="61"/>
      <c r="AA63" s="61"/>
      <c r="AB63" s="61"/>
      <c r="AC63" s="61"/>
      <c r="AD63" s="61"/>
      <c r="AE63" s="61"/>
      <c r="AF63" s="61"/>
      <c r="AG63" s="61"/>
      <c r="AH63" s="40"/>
      <c r="AI63" s="40"/>
      <c r="AJ63" s="40"/>
      <c r="AK63" s="40"/>
      <c r="AL63" s="40"/>
      <c r="AM63" s="40"/>
      <c r="AN63" s="40"/>
    </row>
    <row r="64" spans="1:40" x14ac:dyDescent="0.2">
      <c r="A64" s="36" t="str">
        <f t="shared" si="27"/>
        <v>≥ Level 4 Pilots</v>
      </c>
      <c r="B64" s="146" t="str">
        <f t="shared" si="29"/>
        <v>NA</v>
      </c>
      <c r="C64" s="146" t="str">
        <f t="shared" ref="C64:M64" si="31">IF($B113 = "NA","NA",ROUNDUP(IF(C$13="Deploy",MAX((C$104/100)*$B113,$B113),(C$104/100)*$B113),0))</f>
        <v>NA</v>
      </c>
      <c r="D64" s="146" t="str">
        <f t="shared" si="31"/>
        <v>NA</v>
      </c>
      <c r="E64" s="146" t="str">
        <f t="shared" si="31"/>
        <v>NA</v>
      </c>
      <c r="F64" s="146" t="str">
        <f t="shared" si="31"/>
        <v>NA</v>
      </c>
      <c r="G64" s="146" t="str">
        <f t="shared" si="31"/>
        <v>NA</v>
      </c>
      <c r="H64" s="146" t="str">
        <f t="shared" si="31"/>
        <v>NA</v>
      </c>
      <c r="I64" s="146" t="str">
        <f t="shared" si="31"/>
        <v>NA</v>
      </c>
      <c r="J64" s="146" t="str">
        <f t="shared" si="31"/>
        <v>NA</v>
      </c>
      <c r="K64" s="146" t="str">
        <f t="shared" si="31"/>
        <v>NA</v>
      </c>
      <c r="L64" s="146" t="str">
        <f t="shared" si="31"/>
        <v>NA</v>
      </c>
      <c r="M64" s="146" t="str">
        <f t="shared" si="31"/>
        <v>NA</v>
      </c>
      <c r="N64" s="61"/>
      <c r="O64" s="61"/>
      <c r="P64" s="61"/>
      <c r="Q64" s="61"/>
      <c r="R64" s="61"/>
      <c r="S64" s="61"/>
      <c r="T64" s="61"/>
      <c r="U64" s="61"/>
      <c r="V64" s="61"/>
      <c r="W64" s="61"/>
      <c r="X64" s="61"/>
      <c r="Y64" s="61"/>
      <c r="Z64" s="61"/>
      <c r="AA64" s="61"/>
      <c r="AB64" s="61"/>
      <c r="AC64" s="61"/>
      <c r="AD64" s="61"/>
      <c r="AE64" s="61"/>
      <c r="AF64" s="61"/>
      <c r="AG64" s="61"/>
      <c r="AH64" s="40"/>
      <c r="AI64" s="40"/>
      <c r="AJ64" s="40"/>
      <c r="AK64" s="40"/>
      <c r="AL64" s="40"/>
      <c r="AM64" s="40"/>
      <c r="AN64" s="40"/>
    </row>
    <row r="65" spans="1:40" x14ac:dyDescent="0.2">
      <c r="A65" s="36" t="str">
        <f t="shared" si="27"/>
        <v>≥ Level 3 Pilots</v>
      </c>
      <c r="B65" s="146">
        <f t="shared" si="29"/>
        <v>1</v>
      </c>
      <c r="C65" s="146">
        <f t="shared" ref="C65:M65" si="32">IF($B114 = "NA","NA",ROUNDUP(IF(C$13="Deploy",MAX((C$104/100)*$B114,$B114),(C$104/100)*$B114),0))</f>
        <v>1</v>
      </c>
      <c r="D65" s="146">
        <f t="shared" si="32"/>
        <v>1</v>
      </c>
      <c r="E65" s="146">
        <f t="shared" si="32"/>
        <v>1</v>
      </c>
      <c r="F65" s="146">
        <f t="shared" si="32"/>
        <v>1</v>
      </c>
      <c r="G65" s="146">
        <f t="shared" si="32"/>
        <v>1</v>
      </c>
      <c r="H65" s="146">
        <f t="shared" si="32"/>
        <v>1</v>
      </c>
      <c r="I65" s="146">
        <f t="shared" si="32"/>
        <v>1</v>
      </c>
      <c r="J65" s="146">
        <f t="shared" si="32"/>
        <v>1</v>
      </c>
      <c r="K65" s="146">
        <f t="shared" si="32"/>
        <v>1</v>
      </c>
      <c r="L65" s="146">
        <f t="shared" si="32"/>
        <v>1</v>
      </c>
      <c r="M65" s="146">
        <f t="shared" si="32"/>
        <v>1</v>
      </c>
      <c r="N65" s="61"/>
      <c r="O65" s="61"/>
      <c r="P65" s="61"/>
      <c r="Q65" s="61"/>
      <c r="R65" s="61"/>
      <c r="S65" s="61"/>
      <c r="T65" s="61"/>
      <c r="U65" s="61"/>
      <c r="V65" s="61"/>
      <c r="W65" s="61"/>
      <c r="X65" s="61"/>
      <c r="Y65" s="61"/>
      <c r="Z65" s="61"/>
      <c r="AA65" s="61"/>
      <c r="AB65" s="61"/>
      <c r="AC65" s="61"/>
      <c r="AD65" s="61"/>
      <c r="AE65" s="61"/>
      <c r="AF65" s="61"/>
      <c r="AG65" s="61"/>
      <c r="AH65" s="40"/>
      <c r="AI65" s="40"/>
      <c r="AJ65" s="40"/>
      <c r="AK65" s="40"/>
      <c r="AL65" s="40"/>
      <c r="AM65" s="40"/>
      <c r="AN65" s="40"/>
    </row>
    <row r="66" spans="1:40" x14ac:dyDescent="0.2">
      <c r="A66" s="36" t="str">
        <f t="shared" si="27"/>
        <v>≥ Level 2 Pilots</v>
      </c>
      <c r="B66" s="146">
        <f t="shared" si="29"/>
        <v>1</v>
      </c>
      <c r="C66" s="146">
        <f t="shared" ref="C66:M66" si="33">IF($B115 = "NA","NA",ROUNDUP(IF(C$13="Deploy",MAX((C$104/100)*$B115,$B115),(C$104/100)*$B115),0))</f>
        <v>1</v>
      </c>
      <c r="D66" s="146">
        <f t="shared" si="33"/>
        <v>1</v>
      </c>
      <c r="E66" s="146">
        <f t="shared" si="33"/>
        <v>2</v>
      </c>
      <c r="F66" s="146">
        <f t="shared" si="33"/>
        <v>2</v>
      </c>
      <c r="G66" s="146">
        <f t="shared" si="33"/>
        <v>2</v>
      </c>
      <c r="H66" s="146">
        <f t="shared" si="33"/>
        <v>2</v>
      </c>
      <c r="I66" s="146">
        <f t="shared" si="33"/>
        <v>2</v>
      </c>
      <c r="J66" s="146">
        <f t="shared" si="33"/>
        <v>2</v>
      </c>
      <c r="K66" s="146">
        <f t="shared" si="33"/>
        <v>2</v>
      </c>
      <c r="L66" s="146">
        <f t="shared" si="33"/>
        <v>2</v>
      </c>
      <c r="M66" s="146">
        <f t="shared" si="33"/>
        <v>1</v>
      </c>
      <c r="N66" s="61"/>
      <c r="O66" s="61"/>
      <c r="P66" s="61"/>
      <c r="Q66" s="61"/>
      <c r="R66" s="61"/>
      <c r="S66" s="61"/>
      <c r="T66" s="61"/>
      <c r="U66" s="61"/>
      <c r="V66" s="61"/>
      <c r="W66" s="61"/>
      <c r="X66" s="61"/>
      <c r="Y66" s="61"/>
      <c r="Z66" s="61"/>
      <c r="AA66" s="61"/>
      <c r="AB66" s="61"/>
      <c r="AC66" s="61"/>
      <c r="AD66" s="61"/>
      <c r="AE66" s="61"/>
      <c r="AF66" s="61"/>
      <c r="AG66" s="61"/>
      <c r="AH66" s="40"/>
      <c r="AI66" s="40"/>
      <c r="AJ66" s="40"/>
      <c r="AK66" s="40"/>
      <c r="AL66" s="40"/>
      <c r="AM66" s="40"/>
      <c r="AN66" s="40"/>
    </row>
    <row r="67" spans="1:40" x14ac:dyDescent="0.2">
      <c r="A67" s="36" t="str">
        <f t="shared" si="27"/>
        <v>≥ Level 1 Pilots</v>
      </c>
      <c r="B67" s="146">
        <f t="shared" si="29"/>
        <v>2</v>
      </c>
      <c r="C67" s="146">
        <f t="shared" ref="C67:M67" si="34">IF($B116 = "NA","NA",ROUNDUP(IF(C$13="Deploy",MAX((C$104/100)*$B116,$B116),(C$104/100)*$B116),0))</f>
        <v>2</v>
      </c>
      <c r="D67" s="146">
        <f t="shared" si="34"/>
        <v>2</v>
      </c>
      <c r="E67" s="146">
        <f t="shared" si="34"/>
        <v>3</v>
      </c>
      <c r="F67" s="146">
        <f t="shared" si="34"/>
        <v>3</v>
      </c>
      <c r="G67" s="146">
        <f t="shared" si="34"/>
        <v>4</v>
      </c>
      <c r="H67" s="146">
        <f t="shared" si="34"/>
        <v>4</v>
      </c>
      <c r="I67" s="146">
        <f t="shared" si="34"/>
        <v>4</v>
      </c>
      <c r="J67" s="146">
        <f t="shared" si="34"/>
        <v>4</v>
      </c>
      <c r="K67" s="146">
        <f t="shared" si="34"/>
        <v>4</v>
      </c>
      <c r="L67" s="146">
        <f t="shared" si="34"/>
        <v>4</v>
      </c>
      <c r="M67" s="146">
        <f t="shared" si="34"/>
        <v>2</v>
      </c>
      <c r="N67" s="61"/>
      <c r="O67" s="61"/>
      <c r="P67" s="61"/>
      <c r="Q67" s="61"/>
      <c r="R67" s="61"/>
      <c r="S67" s="61"/>
      <c r="T67" s="61"/>
      <c r="U67" s="61"/>
      <c r="V67" s="61"/>
      <c r="W67" s="61"/>
      <c r="X67" s="61"/>
      <c r="Y67" s="61"/>
      <c r="Z67" s="61"/>
      <c r="AA67" s="61"/>
      <c r="AB67" s="61"/>
      <c r="AC67" s="61"/>
      <c r="AD67" s="61"/>
      <c r="AE67" s="61"/>
      <c r="AF67" s="61"/>
      <c r="AG67" s="61"/>
      <c r="AH67" s="40"/>
      <c r="AI67" s="40"/>
      <c r="AJ67" s="40"/>
      <c r="AK67" s="40"/>
      <c r="AL67" s="40"/>
      <c r="AM67" s="40"/>
      <c r="AN67" s="40"/>
    </row>
    <row r="68" spans="1:40" x14ac:dyDescent="0.2">
      <c r="A68" s="36" t="str">
        <f t="shared" si="27"/>
        <v>≥ PR/SOF 4 Pilots</v>
      </c>
      <c r="B68" s="146" t="str">
        <f t="shared" si="29"/>
        <v>NA</v>
      </c>
      <c r="C68" s="146" t="str">
        <f t="shared" ref="C68:M68" si="35">IF($B117 = "NA","NA",ROUNDUP(IF(C$13="Deploy",MAX((C$104/100)*$B117,$B117),(C$104/100)*$B117),0))</f>
        <v>NA</v>
      </c>
      <c r="D68" s="146" t="str">
        <f t="shared" si="35"/>
        <v>NA</v>
      </c>
      <c r="E68" s="146" t="str">
        <f t="shared" si="35"/>
        <v>NA</v>
      </c>
      <c r="F68" s="146" t="str">
        <f t="shared" si="35"/>
        <v>NA</v>
      </c>
      <c r="G68" s="146" t="str">
        <f t="shared" si="35"/>
        <v>NA</v>
      </c>
      <c r="H68" s="146" t="str">
        <f t="shared" si="35"/>
        <v>NA</v>
      </c>
      <c r="I68" s="146" t="str">
        <f t="shared" si="35"/>
        <v>NA</v>
      </c>
      <c r="J68" s="146" t="str">
        <f t="shared" si="35"/>
        <v>NA</v>
      </c>
      <c r="K68" s="146" t="str">
        <f t="shared" si="35"/>
        <v>NA</v>
      </c>
      <c r="L68" s="146" t="str">
        <f t="shared" si="35"/>
        <v>NA</v>
      </c>
      <c r="M68" s="146" t="str">
        <f t="shared" si="35"/>
        <v>NA</v>
      </c>
      <c r="N68" s="61"/>
      <c r="O68" s="61"/>
      <c r="P68" s="61"/>
      <c r="Q68" s="61"/>
      <c r="R68" s="61"/>
      <c r="S68" s="61"/>
      <c r="T68" s="61"/>
      <c r="U68" s="61"/>
      <c r="V68" s="61"/>
      <c r="W68" s="61"/>
      <c r="X68" s="61"/>
      <c r="Y68" s="61"/>
      <c r="Z68" s="61"/>
      <c r="AA68" s="61"/>
      <c r="AB68" s="61"/>
      <c r="AC68" s="61"/>
      <c r="AD68" s="61"/>
      <c r="AE68" s="61"/>
      <c r="AF68" s="61"/>
      <c r="AG68" s="61"/>
      <c r="AH68" s="40"/>
      <c r="AI68" s="40"/>
      <c r="AJ68" s="40"/>
      <c r="AK68" s="40"/>
      <c r="AL68" s="40"/>
      <c r="AM68" s="40"/>
      <c r="AN68" s="40"/>
    </row>
    <row r="69" spans="1:40" x14ac:dyDescent="0.2">
      <c r="A69" s="36" t="str">
        <f t="shared" si="27"/>
        <v>≥ PR/SOF 3 Pilots</v>
      </c>
      <c r="B69" s="146" t="str">
        <f t="shared" si="29"/>
        <v>NA</v>
      </c>
      <c r="C69" s="146" t="str">
        <f t="shared" ref="C69:M69" si="36">IF($B118 = "NA","NA",ROUNDUP(IF(C$13="Deploy",MAX((C$104/100)*$B118,$B118),(C$104/100)*$B118),0))</f>
        <v>NA</v>
      </c>
      <c r="D69" s="146" t="str">
        <f t="shared" si="36"/>
        <v>NA</v>
      </c>
      <c r="E69" s="146" t="str">
        <f t="shared" si="36"/>
        <v>NA</v>
      </c>
      <c r="F69" s="146" t="str">
        <f t="shared" si="36"/>
        <v>NA</v>
      </c>
      <c r="G69" s="146" t="str">
        <f t="shared" si="36"/>
        <v>NA</v>
      </c>
      <c r="H69" s="146" t="str">
        <f t="shared" si="36"/>
        <v>NA</v>
      </c>
      <c r="I69" s="146" t="str">
        <f t="shared" si="36"/>
        <v>NA</v>
      </c>
      <c r="J69" s="146" t="str">
        <f t="shared" si="36"/>
        <v>NA</v>
      </c>
      <c r="K69" s="146" t="str">
        <f t="shared" si="36"/>
        <v>NA</v>
      </c>
      <c r="L69" s="146" t="str">
        <f t="shared" si="36"/>
        <v>NA</v>
      </c>
      <c r="M69" s="146" t="str">
        <f t="shared" si="36"/>
        <v>NA</v>
      </c>
      <c r="N69" s="61"/>
      <c r="O69" s="61"/>
      <c r="P69" s="61"/>
      <c r="Q69" s="61"/>
      <c r="R69" s="61"/>
      <c r="S69" s="61"/>
      <c r="T69" s="61"/>
      <c r="U69" s="61"/>
      <c r="V69" s="61"/>
      <c r="W69" s="61"/>
      <c r="X69" s="61"/>
      <c r="Y69" s="61"/>
      <c r="Z69" s="61"/>
      <c r="AA69" s="61"/>
      <c r="AB69" s="61"/>
      <c r="AC69" s="61"/>
      <c r="AD69" s="61"/>
      <c r="AE69" s="61"/>
      <c r="AF69" s="61"/>
      <c r="AG69" s="61"/>
      <c r="AH69" s="40"/>
      <c r="AI69" s="40"/>
      <c r="AJ69" s="40"/>
      <c r="AK69" s="40"/>
      <c r="AL69" s="40"/>
      <c r="AM69" s="40"/>
      <c r="AN69" s="40"/>
    </row>
    <row r="70" spans="1:40" x14ac:dyDescent="0.2">
      <c r="A70" s="36" t="str">
        <f t="shared" si="27"/>
        <v>≥ PR/SOF 2 Pilots</v>
      </c>
      <c r="B70" s="146" t="str">
        <f t="shared" si="29"/>
        <v>NA</v>
      </c>
      <c r="C70" s="146" t="str">
        <f t="shared" ref="C70:M70" si="37">IF($B119 = "NA","NA",ROUNDUP(IF(C$13="Deploy",MAX((C$104/100)*$B119,$B119),(C$104/100)*$B119),0))</f>
        <v>NA</v>
      </c>
      <c r="D70" s="146" t="str">
        <f t="shared" si="37"/>
        <v>NA</v>
      </c>
      <c r="E70" s="146" t="str">
        <f t="shared" si="37"/>
        <v>NA</v>
      </c>
      <c r="F70" s="146" t="str">
        <f t="shared" si="37"/>
        <v>NA</v>
      </c>
      <c r="G70" s="146" t="str">
        <f t="shared" si="37"/>
        <v>NA</v>
      </c>
      <c r="H70" s="146" t="str">
        <f t="shared" si="37"/>
        <v>NA</v>
      </c>
      <c r="I70" s="146" t="str">
        <f t="shared" si="37"/>
        <v>NA</v>
      </c>
      <c r="J70" s="146" t="str">
        <f t="shared" si="37"/>
        <v>NA</v>
      </c>
      <c r="K70" s="146" t="str">
        <f t="shared" si="37"/>
        <v>NA</v>
      </c>
      <c r="L70" s="146" t="str">
        <f t="shared" si="37"/>
        <v>NA</v>
      </c>
      <c r="M70" s="146" t="str">
        <f t="shared" si="37"/>
        <v>NA</v>
      </c>
      <c r="N70" s="61"/>
      <c r="O70" s="61"/>
      <c r="P70" s="61"/>
      <c r="Q70" s="61"/>
      <c r="R70" s="61"/>
      <c r="S70" s="61"/>
      <c r="T70" s="61"/>
      <c r="U70" s="61"/>
      <c r="V70" s="61"/>
      <c r="W70" s="61"/>
      <c r="X70" s="61"/>
      <c r="Y70" s="61"/>
      <c r="Z70" s="61"/>
      <c r="AA70" s="61"/>
      <c r="AB70" s="61"/>
      <c r="AC70" s="61"/>
      <c r="AD70" s="61"/>
      <c r="AE70" s="61"/>
      <c r="AF70" s="61"/>
      <c r="AG70" s="61"/>
      <c r="AH70" s="40"/>
      <c r="AI70" s="40"/>
      <c r="AJ70" s="40"/>
      <c r="AK70" s="40"/>
      <c r="AL70" s="40"/>
      <c r="AM70" s="40"/>
      <c r="AN70" s="40"/>
    </row>
    <row r="71" spans="1:40" x14ac:dyDescent="0.2">
      <c r="A71" s="36" t="str">
        <f t="shared" si="27"/>
        <v>≥ PR/SOF 1 Pilots</v>
      </c>
      <c r="B71" s="146" t="str">
        <f t="shared" si="29"/>
        <v>NA</v>
      </c>
      <c r="C71" s="146" t="str">
        <f t="shared" ref="C71:M71" si="38">IF($B120 = "NA","NA",ROUNDUP(IF(C$13="Deploy",MAX((C$104/100)*$B120,$B120),(C$104/100)*$B120),0))</f>
        <v>NA</v>
      </c>
      <c r="D71" s="146" t="str">
        <f t="shared" si="38"/>
        <v>NA</v>
      </c>
      <c r="E71" s="146" t="str">
        <f t="shared" si="38"/>
        <v>NA</v>
      </c>
      <c r="F71" s="146" t="str">
        <f t="shared" si="38"/>
        <v>NA</v>
      </c>
      <c r="G71" s="146" t="str">
        <f t="shared" si="38"/>
        <v>NA</v>
      </c>
      <c r="H71" s="146" t="str">
        <f t="shared" si="38"/>
        <v>NA</v>
      </c>
      <c r="I71" s="146" t="str">
        <f t="shared" si="38"/>
        <v>NA</v>
      </c>
      <c r="J71" s="146" t="str">
        <f t="shared" si="38"/>
        <v>NA</v>
      </c>
      <c r="K71" s="146" t="str">
        <f t="shared" si="38"/>
        <v>NA</v>
      </c>
      <c r="L71" s="146" t="str">
        <f t="shared" si="38"/>
        <v>NA</v>
      </c>
      <c r="M71" s="146" t="str">
        <f t="shared" si="38"/>
        <v>NA</v>
      </c>
      <c r="N71" s="61"/>
      <c r="O71" s="61"/>
      <c r="P71" s="61"/>
      <c r="Q71" s="61"/>
      <c r="R71" s="61"/>
      <c r="S71" s="61"/>
      <c r="T71" s="61"/>
      <c r="U71" s="61"/>
      <c r="V71" s="61"/>
      <c r="W71" s="61"/>
      <c r="X71" s="61"/>
      <c r="Y71" s="61"/>
      <c r="Z71" s="61"/>
      <c r="AA71" s="61"/>
      <c r="AB71" s="61"/>
      <c r="AC71" s="61"/>
      <c r="AD71" s="61"/>
      <c r="AE71" s="61"/>
      <c r="AF71" s="61"/>
      <c r="AG71" s="61"/>
      <c r="AH71" s="40"/>
      <c r="AI71" s="40"/>
      <c r="AJ71" s="40"/>
      <c r="AK71" s="40"/>
      <c r="AL71" s="40"/>
      <c r="AM71" s="40"/>
      <c r="AN71" s="40"/>
    </row>
    <row r="72" spans="1:40" x14ac:dyDescent="0.2">
      <c r="A72" s="36" t="str">
        <f t="shared" si="27"/>
        <v>≥ MIW Level 2 Pilots</v>
      </c>
      <c r="B72" s="146" t="str">
        <f t="shared" si="29"/>
        <v>NA</v>
      </c>
      <c r="C72" s="146" t="str">
        <f t="shared" ref="C72:M72" si="39">IF($B121 = "NA","NA",ROUNDUP(IF(C$13="Deploy",MAX((C$104/100)*$B121,$B121),(C$104/100)*$B121),0))</f>
        <v>NA</v>
      </c>
      <c r="D72" s="146" t="str">
        <f t="shared" si="39"/>
        <v>NA</v>
      </c>
      <c r="E72" s="146" t="str">
        <f t="shared" si="39"/>
        <v>NA</v>
      </c>
      <c r="F72" s="146" t="str">
        <f t="shared" si="39"/>
        <v>NA</v>
      </c>
      <c r="G72" s="146" t="str">
        <f t="shared" si="39"/>
        <v>NA</v>
      </c>
      <c r="H72" s="146" t="str">
        <f t="shared" si="39"/>
        <v>NA</v>
      </c>
      <c r="I72" s="146" t="str">
        <f t="shared" si="39"/>
        <v>NA</v>
      </c>
      <c r="J72" s="146" t="str">
        <f t="shared" si="39"/>
        <v>NA</v>
      </c>
      <c r="K72" s="146" t="str">
        <f t="shared" si="39"/>
        <v>NA</v>
      </c>
      <c r="L72" s="146" t="str">
        <f t="shared" si="39"/>
        <v>NA</v>
      </c>
      <c r="M72" s="146" t="str">
        <f t="shared" si="39"/>
        <v>NA</v>
      </c>
      <c r="N72" s="61"/>
      <c r="O72" s="61"/>
      <c r="P72" s="61"/>
      <c r="Q72" s="61"/>
      <c r="R72" s="61"/>
      <c r="S72" s="61"/>
      <c r="T72" s="61"/>
      <c r="U72" s="61"/>
      <c r="V72" s="61"/>
      <c r="W72" s="61"/>
      <c r="X72" s="61"/>
      <c r="Y72" s="61"/>
      <c r="Z72" s="61"/>
      <c r="AA72" s="61"/>
      <c r="AB72" s="61"/>
      <c r="AC72" s="61"/>
      <c r="AD72" s="61"/>
      <c r="AE72" s="61"/>
      <c r="AF72" s="61"/>
      <c r="AG72" s="61"/>
      <c r="AH72" s="40"/>
      <c r="AI72" s="40"/>
      <c r="AJ72" s="40"/>
      <c r="AK72" s="40"/>
      <c r="AL72" s="40"/>
      <c r="AM72" s="40"/>
      <c r="AN72" s="40"/>
    </row>
    <row r="73" spans="1:40" x14ac:dyDescent="0.2">
      <c r="A73" s="36" t="str">
        <f t="shared" si="27"/>
        <v>≥ MIW Level 1 Pilots</v>
      </c>
      <c r="B73" s="146" t="str">
        <f t="shared" si="29"/>
        <v>NA</v>
      </c>
      <c r="C73" s="146" t="str">
        <f t="shared" ref="C73:M73" si="40">IF($B122 = "NA","NA",ROUNDUP(IF(C$13="Deploy",MAX((C$104/100)*$B122,$B122),(C$104/100)*$B122),0))</f>
        <v>NA</v>
      </c>
      <c r="D73" s="146" t="str">
        <f t="shared" si="40"/>
        <v>NA</v>
      </c>
      <c r="E73" s="146" t="str">
        <f t="shared" si="40"/>
        <v>NA</v>
      </c>
      <c r="F73" s="146" t="str">
        <f t="shared" si="40"/>
        <v>NA</v>
      </c>
      <c r="G73" s="146" t="str">
        <f t="shared" si="40"/>
        <v>NA</v>
      </c>
      <c r="H73" s="146" t="str">
        <f t="shared" si="40"/>
        <v>NA</v>
      </c>
      <c r="I73" s="146" t="str">
        <f t="shared" si="40"/>
        <v>NA</v>
      </c>
      <c r="J73" s="146" t="str">
        <f t="shared" si="40"/>
        <v>NA</v>
      </c>
      <c r="K73" s="146" t="str">
        <f t="shared" si="40"/>
        <v>NA</v>
      </c>
      <c r="L73" s="146" t="str">
        <f t="shared" si="40"/>
        <v>NA</v>
      </c>
      <c r="M73" s="146" t="str">
        <f t="shared" si="40"/>
        <v>NA</v>
      </c>
      <c r="N73" s="61"/>
      <c r="O73" s="61"/>
      <c r="P73" s="61"/>
      <c r="Q73" s="61"/>
      <c r="R73" s="61"/>
      <c r="S73" s="61"/>
      <c r="T73" s="61"/>
      <c r="U73" s="61"/>
      <c r="V73" s="61"/>
      <c r="W73" s="61"/>
      <c r="X73" s="61"/>
      <c r="Y73" s="61"/>
      <c r="Z73" s="61"/>
      <c r="AA73" s="61"/>
      <c r="AB73" s="61"/>
      <c r="AC73" s="61"/>
      <c r="AD73" s="61"/>
      <c r="AE73" s="61"/>
      <c r="AF73" s="61"/>
      <c r="AG73" s="61"/>
      <c r="AH73" s="40"/>
      <c r="AI73" s="40"/>
      <c r="AJ73" s="40"/>
      <c r="AK73" s="40"/>
      <c r="AL73" s="40"/>
      <c r="AM73" s="40"/>
      <c r="AN73" s="40"/>
    </row>
    <row r="74" spans="1:40" x14ac:dyDescent="0.2">
      <c r="A74" s="36" t="str">
        <f t="shared" si="27"/>
        <v>≥ TAC Level 4 Pilots</v>
      </c>
      <c r="B74" s="146" t="str">
        <f t="shared" si="29"/>
        <v>NA</v>
      </c>
      <c r="C74" s="146" t="str">
        <f t="shared" ref="C74:M74" si="41">IF($B123 = "NA","NA",ROUNDUP(IF(C$13="Deploy",MAX((C$104/100)*$B123,$B123),(C$104/100)*$B123),0))</f>
        <v>NA</v>
      </c>
      <c r="D74" s="146" t="str">
        <f t="shared" si="41"/>
        <v>NA</v>
      </c>
      <c r="E74" s="146" t="str">
        <f t="shared" si="41"/>
        <v>NA</v>
      </c>
      <c r="F74" s="146" t="str">
        <f t="shared" si="41"/>
        <v>NA</v>
      </c>
      <c r="G74" s="146" t="str">
        <f t="shared" si="41"/>
        <v>NA</v>
      </c>
      <c r="H74" s="146" t="str">
        <f t="shared" si="41"/>
        <v>NA</v>
      </c>
      <c r="I74" s="146" t="str">
        <f t="shared" si="41"/>
        <v>NA</v>
      </c>
      <c r="J74" s="146" t="str">
        <f t="shared" si="41"/>
        <v>NA</v>
      </c>
      <c r="K74" s="146" t="str">
        <f t="shared" si="41"/>
        <v>NA</v>
      </c>
      <c r="L74" s="146" t="str">
        <f t="shared" si="41"/>
        <v>NA</v>
      </c>
      <c r="M74" s="146" t="str">
        <f t="shared" si="41"/>
        <v>NA</v>
      </c>
      <c r="N74" s="61"/>
      <c r="O74" s="61"/>
      <c r="P74" s="61"/>
      <c r="Q74" s="61"/>
      <c r="R74" s="61"/>
      <c r="S74" s="61"/>
      <c r="T74" s="61"/>
      <c r="U74" s="61"/>
      <c r="V74" s="61"/>
      <c r="W74" s="61"/>
      <c r="X74" s="61"/>
      <c r="Y74" s="61"/>
      <c r="Z74" s="61"/>
      <c r="AA74" s="61"/>
      <c r="AB74" s="61"/>
      <c r="AC74" s="61"/>
      <c r="AD74" s="61"/>
      <c r="AE74" s="61"/>
      <c r="AF74" s="61"/>
      <c r="AG74" s="61"/>
      <c r="AH74" s="40"/>
      <c r="AI74" s="40"/>
      <c r="AJ74" s="40"/>
      <c r="AK74" s="40"/>
      <c r="AL74" s="40"/>
      <c r="AM74" s="40"/>
      <c r="AN74" s="40"/>
    </row>
    <row r="75" spans="1:40" x14ac:dyDescent="0.2">
      <c r="A75" s="36" t="str">
        <f t="shared" si="27"/>
        <v>≥ TAC Level 3 Pilots</v>
      </c>
      <c r="B75" s="146" t="str">
        <f t="shared" si="29"/>
        <v>NA</v>
      </c>
      <c r="C75" s="146" t="str">
        <f t="shared" ref="C75:M75" si="42">IF($B124 = "NA","NA",ROUNDUP(IF(C$13="Deploy",MAX((C$104/100)*$B124,$B124),(C$104/100)*$B124),0))</f>
        <v>NA</v>
      </c>
      <c r="D75" s="146" t="str">
        <f t="shared" si="42"/>
        <v>NA</v>
      </c>
      <c r="E75" s="146" t="str">
        <f t="shared" si="42"/>
        <v>NA</v>
      </c>
      <c r="F75" s="146" t="str">
        <f t="shared" si="42"/>
        <v>NA</v>
      </c>
      <c r="G75" s="146" t="str">
        <f t="shared" si="42"/>
        <v>NA</v>
      </c>
      <c r="H75" s="146" t="str">
        <f t="shared" si="42"/>
        <v>NA</v>
      </c>
      <c r="I75" s="146" t="str">
        <f t="shared" si="42"/>
        <v>NA</v>
      </c>
      <c r="J75" s="146" t="str">
        <f t="shared" si="42"/>
        <v>NA</v>
      </c>
      <c r="K75" s="146" t="str">
        <f t="shared" si="42"/>
        <v>NA</v>
      </c>
      <c r="L75" s="146" t="str">
        <f t="shared" si="42"/>
        <v>NA</v>
      </c>
      <c r="M75" s="146" t="str">
        <f t="shared" si="42"/>
        <v>NA</v>
      </c>
      <c r="N75" s="61"/>
      <c r="O75" s="61"/>
      <c r="P75" s="61"/>
      <c r="Q75" s="61"/>
      <c r="R75" s="61"/>
      <c r="S75" s="61"/>
      <c r="T75" s="61"/>
      <c r="U75" s="61"/>
      <c r="V75" s="61"/>
      <c r="W75" s="61"/>
      <c r="X75" s="61"/>
      <c r="Y75" s="61"/>
      <c r="Z75" s="61"/>
      <c r="AA75" s="61"/>
      <c r="AB75" s="61"/>
      <c r="AC75" s="61"/>
      <c r="AD75" s="61"/>
      <c r="AE75" s="61"/>
      <c r="AF75" s="61"/>
      <c r="AG75" s="61"/>
      <c r="AH75" s="40"/>
      <c r="AI75" s="40"/>
      <c r="AJ75" s="40"/>
      <c r="AK75" s="40"/>
      <c r="AL75" s="40"/>
      <c r="AM75" s="40"/>
      <c r="AN75" s="40"/>
    </row>
    <row r="76" spans="1:40" x14ac:dyDescent="0.2">
      <c r="A76" s="36" t="str">
        <f t="shared" si="27"/>
        <v>≥ TAC Level 2 Pilots</v>
      </c>
      <c r="B76" s="146" t="str">
        <f t="shared" si="29"/>
        <v>NA</v>
      </c>
      <c r="C76" s="146" t="str">
        <f t="shared" ref="C76:M76" si="43">IF($B125 = "NA","NA",ROUNDUP(IF(C$13="Deploy",MAX((C$104/100)*$B125,$B125),(C$104/100)*$B125),0))</f>
        <v>NA</v>
      </c>
      <c r="D76" s="146" t="str">
        <f t="shared" si="43"/>
        <v>NA</v>
      </c>
      <c r="E76" s="146" t="str">
        <f t="shared" si="43"/>
        <v>NA</v>
      </c>
      <c r="F76" s="146" t="str">
        <f t="shared" si="43"/>
        <v>NA</v>
      </c>
      <c r="G76" s="146" t="str">
        <f t="shared" si="43"/>
        <v>NA</v>
      </c>
      <c r="H76" s="146" t="str">
        <f t="shared" si="43"/>
        <v>NA</v>
      </c>
      <c r="I76" s="146" t="str">
        <f t="shared" si="43"/>
        <v>NA</v>
      </c>
      <c r="J76" s="146" t="str">
        <f t="shared" si="43"/>
        <v>NA</v>
      </c>
      <c r="K76" s="146" t="str">
        <f t="shared" si="43"/>
        <v>NA</v>
      </c>
      <c r="L76" s="146" t="str">
        <f t="shared" si="43"/>
        <v>NA</v>
      </c>
      <c r="M76" s="146" t="str">
        <f t="shared" si="43"/>
        <v>NA</v>
      </c>
      <c r="N76" s="61"/>
      <c r="O76" s="61"/>
      <c r="P76" s="61"/>
      <c r="Q76" s="61"/>
      <c r="R76" s="61"/>
      <c r="S76" s="61"/>
      <c r="T76" s="61"/>
      <c r="U76" s="61"/>
      <c r="V76" s="61"/>
      <c r="W76" s="61"/>
      <c r="X76" s="61"/>
      <c r="Y76" s="61"/>
      <c r="Z76" s="61"/>
      <c r="AA76" s="61"/>
      <c r="AB76" s="61"/>
      <c r="AC76" s="61"/>
      <c r="AD76" s="61"/>
      <c r="AE76" s="61"/>
      <c r="AF76" s="61"/>
      <c r="AG76" s="61"/>
      <c r="AH76" s="40"/>
      <c r="AI76" s="40"/>
      <c r="AJ76" s="40"/>
      <c r="AK76" s="40"/>
      <c r="AL76" s="40"/>
      <c r="AM76" s="40"/>
      <c r="AN76" s="40"/>
    </row>
    <row r="77" spans="1:40" x14ac:dyDescent="0.2">
      <c r="A77" s="36" t="str">
        <f t="shared" si="27"/>
        <v>Mountain Flying School Pilots</v>
      </c>
      <c r="B77" s="146" t="str">
        <f t="shared" si="29"/>
        <v>NA</v>
      </c>
      <c r="C77" s="146" t="str">
        <f t="shared" ref="C77:M77" si="44">IF($B126 = "NA","NA",ROUNDUP(IF(C$13="Deploy",MAX((C$104/100)*$B126,$B126),(C$104/100)*$B126),0))</f>
        <v>NA</v>
      </c>
      <c r="D77" s="146" t="str">
        <f t="shared" si="44"/>
        <v>NA</v>
      </c>
      <c r="E77" s="146" t="str">
        <f t="shared" si="44"/>
        <v>NA</v>
      </c>
      <c r="F77" s="146" t="str">
        <f t="shared" si="44"/>
        <v>NA</v>
      </c>
      <c r="G77" s="146" t="str">
        <f t="shared" si="44"/>
        <v>NA</v>
      </c>
      <c r="H77" s="146" t="str">
        <f t="shared" si="44"/>
        <v>NA</v>
      </c>
      <c r="I77" s="146" t="str">
        <f t="shared" si="44"/>
        <v>NA</v>
      </c>
      <c r="J77" s="146" t="str">
        <f t="shared" si="44"/>
        <v>NA</v>
      </c>
      <c r="K77" s="146" t="str">
        <f t="shared" si="44"/>
        <v>NA</v>
      </c>
      <c r="L77" s="146" t="str">
        <f t="shared" si="44"/>
        <v>NA</v>
      </c>
      <c r="M77" s="146" t="str">
        <f t="shared" si="44"/>
        <v>NA</v>
      </c>
      <c r="N77" s="61"/>
      <c r="O77" s="61"/>
      <c r="P77" s="61"/>
      <c r="Q77" s="61"/>
      <c r="R77" s="61"/>
      <c r="S77" s="61"/>
      <c r="T77" s="61"/>
      <c r="U77" s="61"/>
      <c r="V77" s="61"/>
      <c r="W77" s="61"/>
      <c r="X77" s="61"/>
      <c r="Y77" s="61"/>
      <c r="Z77" s="61"/>
      <c r="AA77" s="61"/>
      <c r="AB77" s="61"/>
      <c r="AC77" s="61"/>
      <c r="AD77" s="61"/>
      <c r="AE77" s="61"/>
      <c r="AF77" s="61"/>
      <c r="AG77" s="61"/>
      <c r="AH77" s="40"/>
      <c r="AI77" s="40"/>
      <c r="AJ77" s="40"/>
      <c r="AK77" s="40"/>
      <c r="AL77" s="40"/>
      <c r="AM77" s="40"/>
      <c r="AN77" s="40"/>
    </row>
    <row r="78" spans="1:40" x14ac:dyDescent="0.2">
      <c r="A78" s="36" t="str">
        <f t="shared" si="27"/>
        <v>Aircrew Upper Limit</v>
      </c>
      <c r="B78" s="146">
        <f>$B$127</f>
        <v>4</v>
      </c>
      <c r="C78" s="146">
        <f t="shared" ref="C78:M78" si="45">$B$127</f>
        <v>4</v>
      </c>
      <c r="D78" s="146">
        <f t="shared" si="45"/>
        <v>4</v>
      </c>
      <c r="E78" s="146">
        <f t="shared" si="45"/>
        <v>4</v>
      </c>
      <c r="F78" s="146">
        <f t="shared" si="45"/>
        <v>4</v>
      </c>
      <c r="G78" s="146">
        <f t="shared" si="45"/>
        <v>4</v>
      </c>
      <c r="H78" s="146">
        <f t="shared" si="45"/>
        <v>4</v>
      </c>
      <c r="I78" s="146">
        <f t="shared" si="45"/>
        <v>4</v>
      </c>
      <c r="J78" s="146">
        <f t="shared" si="45"/>
        <v>4</v>
      </c>
      <c r="K78" s="146">
        <f t="shared" si="45"/>
        <v>4</v>
      </c>
      <c r="L78" s="146">
        <f t="shared" si="45"/>
        <v>4</v>
      </c>
      <c r="M78" s="146">
        <f t="shared" si="45"/>
        <v>4</v>
      </c>
      <c r="N78" s="61"/>
      <c r="O78" s="61"/>
      <c r="P78" s="61"/>
      <c r="Q78" s="61"/>
      <c r="R78" s="61"/>
      <c r="S78" s="61"/>
      <c r="T78" s="61"/>
      <c r="U78" s="61"/>
      <c r="V78" s="61"/>
      <c r="W78" s="61"/>
      <c r="X78" s="61"/>
      <c r="Y78" s="61"/>
      <c r="Z78" s="61"/>
      <c r="AA78" s="61"/>
      <c r="AB78" s="61"/>
      <c r="AC78" s="61"/>
      <c r="AD78" s="61"/>
      <c r="AE78" s="61"/>
      <c r="AF78" s="61"/>
      <c r="AG78" s="61"/>
      <c r="AH78" s="40"/>
      <c r="AI78" s="40"/>
      <c r="AJ78" s="40"/>
      <c r="AK78" s="40"/>
      <c r="AL78" s="40"/>
      <c r="AM78" s="40"/>
      <c r="AN78" s="40"/>
    </row>
    <row r="79" spans="1:40" x14ac:dyDescent="0.2">
      <c r="A79" s="36" t="str">
        <f t="shared" si="27"/>
        <v>Aircrew Lower Limit</v>
      </c>
      <c r="B79" s="146">
        <f t="shared" ref="B79:M79" si="46">IF($B128 = "NA","NA",ROUNDUP(IF(B$13="Deploy",MAX((B$104/100)*$B128,$B128),(B$104/100)*$B128),0))</f>
        <v>2</v>
      </c>
      <c r="C79" s="146">
        <f t="shared" si="46"/>
        <v>2</v>
      </c>
      <c r="D79" s="146">
        <f t="shared" si="46"/>
        <v>2</v>
      </c>
      <c r="E79" s="146">
        <f t="shared" si="46"/>
        <v>3</v>
      </c>
      <c r="F79" s="146">
        <f t="shared" si="46"/>
        <v>3</v>
      </c>
      <c r="G79" s="146">
        <f t="shared" si="46"/>
        <v>4</v>
      </c>
      <c r="H79" s="146">
        <f t="shared" si="46"/>
        <v>4</v>
      </c>
      <c r="I79" s="146">
        <f t="shared" si="46"/>
        <v>4</v>
      </c>
      <c r="J79" s="146">
        <f t="shared" si="46"/>
        <v>4</v>
      </c>
      <c r="K79" s="146">
        <f t="shared" si="46"/>
        <v>4</v>
      </c>
      <c r="L79" s="146">
        <f t="shared" si="46"/>
        <v>4</v>
      </c>
      <c r="M79" s="146">
        <f t="shared" si="46"/>
        <v>2</v>
      </c>
      <c r="N79" s="61"/>
      <c r="O79" s="61"/>
      <c r="P79" s="61"/>
      <c r="Q79" s="61"/>
      <c r="R79" s="61"/>
      <c r="S79" s="61"/>
      <c r="T79" s="61"/>
      <c r="U79" s="61"/>
      <c r="V79" s="61"/>
      <c r="W79" s="61"/>
      <c r="X79" s="61"/>
      <c r="Y79" s="61"/>
      <c r="Z79" s="61"/>
      <c r="AA79" s="61"/>
      <c r="AB79" s="61"/>
      <c r="AC79" s="61"/>
      <c r="AD79" s="61"/>
      <c r="AE79" s="61"/>
      <c r="AF79" s="61"/>
      <c r="AG79" s="61"/>
      <c r="AH79" s="40"/>
      <c r="AI79" s="40"/>
      <c r="AJ79" s="40"/>
      <c r="AK79" s="40"/>
      <c r="AL79" s="40"/>
      <c r="AM79" s="40"/>
      <c r="AN79" s="40"/>
    </row>
    <row r="80" spans="1:40" x14ac:dyDescent="0.2">
      <c r="A80" s="36" t="str">
        <f t="shared" si="27"/>
        <v>≥ Level 3 Aircrewmen</v>
      </c>
      <c r="B80" s="146">
        <f t="shared" ref="B80:M80" si="47">IF($B129 = "NA","NA",ROUNDUP(IF(B$13="Deploy",MAX((B$104/100)*$B129,$B129),(B$104/100)*$B129),0))</f>
        <v>1</v>
      </c>
      <c r="C80" s="146">
        <f t="shared" si="47"/>
        <v>1</v>
      </c>
      <c r="D80" s="146">
        <f t="shared" si="47"/>
        <v>1</v>
      </c>
      <c r="E80" s="146">
        <f t="shared" si="47"/>
        <v>1</v>
      </c>
      <c r="F80" s="146">
        <f t="shared" si="47"/>
        <v>1</v>
      </c>
      <c r="G80" s="146">
        <f t="shared" si="47"/>
        <v>1</v>
      </c>
      <c r="H80" s="146">
        <f t="shared" si="47"/>
        <v>1</v>
      </c>
      <c r="I80" s="146">
        <f t="shared" si="47"/>
        <v>1</v>
      </c>
      <c r="J80" s="146">
        <f t="shared" si="47"/>
        <v>1</v>
      </c>
      <c r="K80" s="146">
        <f t="shared" si="47"/>
        <v>1</v>
      </c>
      <c r="L80" s="146">
        <f t="shared" si="47"/>
        <v>1</v>
      </c>
      <c r="M80" s="146">
        <f t="shared" si="47"/>
        <v>1</v>
      </c>
      <c r="N80" s="61"/>
      <c r="O80" s="61"/>
      <c r="P80" s="61"/>
      <c r="Q80" s="61"/>
      <c r="R80" s="61"/>
      <c r="S80" s="61"/>
      <c r="T80" s="61"/>
      <c r="U80" s="61"/>
      <c r="V80" s="61"/>
      <c r="W80" s="61"/>
      <c r="X80" s="61"/>
      <c r="Y80" s="61"/>
      <c r="Z80" s="61"/>
      <c r="AA80" s="61"/>
      <c r="AB80" s="61"/>
      <c r="AC80" s="61"/>
      <c r="AD80" s="61"/>
      <c r="AE80" s="61"/>
      <c r="AF80" s="61"/>
      <c r="AG80" s="61"/>
      <c r="AH80" s="40"/>
      <c r="AI80" s="40"/>
      <c r="AJ80" s="40"/>
      <c r="AK80" s="40"/>
      <c r="AL80" s="40"/>
      <c r="AM80" s="40"/>
      <c r="AN80" s="40"/>
    </row>
    <row r="81" spans="1:40" x14ac:dyDescent="0.2">
      <c r="A81" s="36" t="str">
        <f t="shared" si="27"/>
        <v>≥ Level 2 Aircrewmen</v>
      </c>
      <c r="B81" s="146">
        <f t="shared" ref="B81:M81" si="48">IF($B130 = "NA","NA",ROUNDUP(IF(B$13="Deploy",MAX((B$104/100)*$B130,$B130),(B$104/100)*$B130),0))</f>
        <v>2</v>
      </c>
      <c r="C81" s="146">
        <f t="shared" si="48"/>
        <v>2</v>
      </c>
      <c r="D81" s="146">
        <f t="shared" si="48"/>
        <v>2</v>
      </c>
      <c r="E81" s="146">
        <f t="shared" si="48"/>
        <v>3</v>
      </c>
      <c r="F81" s="146">
        <f t="shared" si="48"/>
        <v>3</v>
      </c>
      <c r="G81" s="146">
        <f t="shared" si="48"/>
        <v>4</v>
      </c>
      <c r="H81" s="146">
        <f t="shared" si="48"/>
        <v>4</v>
      </c>
      <c r="I81" s="146">
        <f t="shared" si="48"/>
        <v>4</v>
      </c>
      <c r="J81" s="146">
        <f t="shared" si="48"/>
        <v>4</v>
      </c>
      <c r="K81" s="146">
        <f t="shared" si="48"/>
        <v>4</v>
      </c>
      <c r="L81" s="146">
        <f t="shared" si="48"/>
        <v>4</v>
      </c>
      <c r="M81" s="146">
        <f t="shared" si="48"/>
        <v>2</v>
      </c>
      <c r="N81" s="61"/>
      <c r="O81" s="61"/>
      <c r="P81" s="61"/>
      <c r="Q81" s="61"/>
      <c r="R81" s="61"/>
      <c r="S81" s="61"/>
      <c r="T81" s="61"/>
      <c r="U81" s="61"/>
      <c r="V81" s="61"/>
      <c r="W81" s="61"/>
      <c r="X81" s="61"/>
      <c r="Y81" s="61"/>
      <c r="Z81" s="61"/>
      <c r="AA81" s="61"/>
      <c r="AB81" s="61"/>
      <c r="AC81" s="61"/>
      <c r="AD81" s="61"/>
      <c r="AE81" s="61"/>
      <c r="AF81" s="61"/>
      <c r="AG81" s="61"/>
      <c r="AH81" s="40"/>
      <c r="AI81" s="40"/>
      <c r="AJ81" s="40"/>
      <c r="AK81" s="40"/>
      <c r="AL81" s="40"/>
      <c r="AM81" s="40"/>
      <c r="AN81" s="40"/>
    </row>
    <row r="82" spans="1:40" x14ac:dyDescent="0.2">
      <c r="A82" s="36" t="str">
        <f t="shared" si="27"/>
        <v>≥ Level 1 Aircrewmen</v>
      </c>
      <c r="B82" s="146">
        <f t="shared" ref="B82:M82" si="49">IF($B131 = "NA","NA",ROUNDUP(IF(B$13="Deploy",MAX((B$104/100)*$B131,$B131),(B$104/100)*$B131),0))</f>
        <v>2</v>
      </c>
      <c r="C82" s="146">
        <f t="shared" si="49"/>
        <v>2</v>
      </c>
      <c r="D82" s="146">
        <f t="shared" si="49"/>
        <v>2</v>
      </c>
      <c r="E82" s="146">
        <f t="shared" si="49"/>
        <v>3</v>
      </c>
      <c r="F82" s="146">
        <f t="shared" si="49"/>
        <v>3</v>
      </c>
      <c r="G82" s="146">
        <f t="shared" si="49"/>
        <v>4</v>
      </c>
      <c r="H82" s="146">
        <f t="shared" si="49"/>
        <v>4</v>
      </c>
      <c r="I82" s="146">
        <f t="shared" si="49"/>
        <v>4</v>
      </c>
      <c r="J82" s="146">
        <f t="shared" si="49"/>
        <v>4</v>
      </c>
      <c r="K82" s="146">
        <f t="shared" si="49"/>
        <v>4</v>
      </c>
      <c r="L82" s="146">
        <f t="shared" si="49"/>
        <v>4</v>
      </c>
      <c r="M82" s="146">
        <f t="shared" si="49"/>
        <v>2</v>
      </c>
      <c r="N82" s="61"/>
      <c r="O82" s="61"/>
      <c r="P82" s="61"/>
      <c r="Q82" s="61"/>
      <c r="R82" s="61"/>
      <c r="S82" s="61"/>
      <c r="T82" s="61"/>
      <c r="U82" s="61"/>
      <c r="V82" s="61"/>
      <c r="W82" s="61"/>
      <c r="X82" s="61"/>
      <c r="Y82" s="61"/>
      <c r="Z82" s="61"/>
      <c r="AA82" s="61"/>
      <c r="AB82" s="61"/>
      <c r="AC82" s="61"/>
      <c r="AD82" s="61"/>
      <c r="AE82" s="61"/>
      <c r="AF82" s="61"/>
      <c r="AG82" s="61"/>
      <c r="AH82" s="40"/>
      <c r="AI82" s="40"/>
      <c r="AJ82" s="40"/>
      <c r="AK82" s="40"/>
      <c r="AL82" s="40"/>
      <c r="AM82" s="40"/>
      <c r="AN82" s="40"/>
    </row>
    <row r="83" spans="1:40" x14ac:dyDescent="0.2">
      <c r="A83" s="36" t="str">
        <f t="shared" si="27"/>
        <v>≥ PR/SOF 3 Aircrewmen</v>
      </c>
      <c r="B83" s="146" t="str">
        <f t="shared" ref="B83:M83" si="50">IF($B132 = "NA","NA",ROUNDUP(IF(B$13="Deploy",MAX((B$104/100)*$B132,$B132),(B$104/100)*$B132),0))</f>
        <v>NA</v>
      </c>
      <c r="C83" s="146" t="str">
        <f t="shared" si="50"/>
        <v>NA</v>
      </c>
      <c r="D83" s="146" t="str">
        <f t="shared" si="50"/>
        <v>NA</v>
      </c>
      <c r="E83" s="146" t="str">
        <f t="shared" si="50"/>
        <v>NA</v>
      </c>
      <c r="F83" s="146" t="str">
        <f t="shared" si="50"/>
        <v>NA</v>
      </c>
      <c r="G83" s="146" t="str">
        <f t="shared" si="50"/>
        <v>NA</v>
      </c>
      <c r="H83" s="146" t="str">
        <f t="shared" si="50"/>
        <v>NA</v>
      </c>
      <c r="I83" s="146" t="str">
        <f t="shared" si="50"/>
        <v>NA</v>
      </c>
      <c r="J83" s="146" t="str">
        <f t="shared" si="50"/>
        <v>NA</v>
      </c>
      <c r="K83" s="146" t="str">
        <f t="shared" si="50"/>
        <v>NA</v>
      </c>
      <c r="L83" s="146" t="str">
        <f t="shared" si="50"/>
        <v>NA</v>
      </c>
      <c r="M83" s="146" t="str">
        <f t="shared" si="50"/>
        <v>NA</v>
      </c>
      <c r="N83" s="61"/>
      <c r="O83" s="61"/>
      <c r="P83" s="61"/>
      <c r="Q83" s="61"/>
      <c r="R83" s="61"/>
      <c r="S83" s="61"/>
      <c r="T83" s="61"/>
      <c r="U83" s="61"/>
      <c r="V83" s="61"/>
      <c r="W83" s="61"/>
      <c r="X83" s="61"/>
      <c r="Y83" s="61"/>
      <c r="Z83" s="61"/>
      <c r="AA83" s="61"/>
      <c r="AB83" s="61"/>
      <c r="AC83" s="61"/>
      <c r="AD83" s="61"/>
      <c r="AE83" s="61"/>
      <c r="AF83" s="61"/>
      <c r="AG83" s="61"/>
      <c r="AH83" s="40"/>
      <c r="AI83" s="40"/>
      <c r="AJ83" s="40"/>
      <c r="AK83" s="40"/>
      <c r="AL83" s="40"/>
      <c r="AM83" s="40"/>
      <c r="AN83" s="40"/>
    </row>
    <row r="84" spans="1:40" x14ac:dyDescent="0.2">
      <c r="A84" s="36" t="str">
        <f t="shared" si="27"/>
        <v>≥ MIW Level 2 Aircrewmen</v>
      </c>
      <c r="B84" s="146" t="str">
        <f t="shared" ref="B84:M84" si="51">IF($B133 = "NA","NA",ROUNDUP(IF(B$13="Deploy",MAX((B$104/100)*$B133,$B133),(B$104/100)*$B133),0))</f>
        <v>NA</v>
      </c>
      <c r="C84" s="146" t="str">
        <f t="shared" si="51"/>
        <v>NA</v>
      </c>
      <c r="D84" s="146" t="str">
        <f t="shared" si="51"/>
        <v>NA</v>
      </c>
      <c r="E84" s="146" t="str">
        <f t="shared" si="51"/>
        <v>NA</v>
      </c>
      <c r="F84" s="146" t="str">
        <f t="shared" si="51"/>
        <v>NA</v>
      </c>
      <c r="G84" s="146" t="str">
        <f t="shared" si="51"/>
        <v>NA</v>
      </c>
      <c r="H84" s="146" t="str">
        <f t="shared" si="51"/>
        <v>NA</v>
      </c>
      <c r="I84" s="146" t="str">
        <f t="shared" si="51"/>
        <v>NA</v>
      </c>
      <c r="J84" s="146" t="str">
        <f t="shared" si="51"/>
        <v>NA</v>
      </c>
      <c r="K84" s="146" t="str">
        <f t="shared" si="51"/>
        <v>NA</v>
      </c>
      <c r="L84" s="146" t="str">
        <f t="shared" si="51"/>
        <v>NA</v>
      </c>
      <c r="M84" s="146" t="str">
        <f t="shared" si="51"/>
        <v>NA</v>
      </c>
      <c r="N84" s="61"/>
      <c r="O84" s="61"/>
      <c r="P84" s="61"/>
      <c r="Q84" s="61"/>
      <c r="R84" s="61"/>
      <c r="S84" s="61"/>
      <c r="T84" s="61"/>
      <c r="U84" s="61"/>
      <c r="V84" s="61"/>
      <c r="W84" s="61"/>
      <c r="X84" s="61"/>
      <c r="Y84" s="61"/>
      <c r="Z84" s="61"/>
      <c r="AA84" s="61"/>
      <c r="AB84" s="61"/>
      <c r="AC84" s="61"/>
      <c r="AD84" s="61"/>
      <c r="AE84" s="61"/>
      <c r="AF84" s="61"/>
      <c r="AG84" s="61"/>
      <c r="AH84" s="40"/>
      <c r="AI84" s="40"/>
      <c r="AJ84" s="40"/>
      <c r="AK84" s="40"/>
      <c r="AL84" s="40"/>
      <c r="AM84" s="40"/>
      <c r="AN84" s="40"/>
    </row>
    <row r="85" spans="1:40" x14ac:dyDescent="0.2">
      <c r="A85" s="36" t="str">
        <f t="shared" si="27"/>
        <v>≥ MIW Level 1 Aircrewmen</v>
      </c>
      <c r="B85" s="146" t="str">
        <f t="shared" ref="B85:M85" si="52">IF($B134 = "NA","NA",ROUNDUP(IF(B$13="Deploy",MAX((B$104/100)*$B134,$B134),(B$104/100)*$B134),0))</f>
        <v>NA</v>
      </c>
      <c r="C85" s="146" t="str">
        <f t="shared" si="52"/>
        <v>NA</v>
      </c>
      <c r="D85" s="146" t="str">
        <f t="shared" si="52"/>
        <v>NA</v>
      </c>
      <c r="E85" s="146" t="str">
        <f t="shared" si="52"/>
        <v>NA</v>
      </c>
      <c r="F85" s="146" t="str">
        <f t="shared" si="52"/>
        <v>NA</v>
      </c>
      <c r="G85" s="146" t="str">
        <f t="shared" si="52"/>
        <v>NA</v>
      </c>
      <c r="H85" s="146" t="str">
        <f t="shared" si="52"/>
        <v>NA</v>
      </c>
      <c r="I85" s="146" t="str">
        <f t="shared" si="52"/>
        <v>NA</v>
      </c>
      <c r="J85" s="146" t="str">
        <f t="shared" si="52"/>
        <v>NA</v>
      </c>
      <c r="K85" s="146" t="str">
        <f t="shared" si="52"/>
        <v>NA</v>
      </c>
      <c r="L85" s="146" t="str">
        <f t="shared" si="52"/>
        <v>NA</v>
      </c>
      <c r="M85" s="146" t="str">
        <f t="shared" si="52"/>
        <v>NA</v>
      </c>
      <c r="N85" s="61"/>
      <c r="O85" s="61"/>
      <c r="P85" s="61"/>
      <c r="Q85" s="61"/>
      <c r="R85" s="61"/>
      <c r="S85" s="61"/>
      <c r="T85" s="61"/>
      <c r="U85" s="61"/>
      <c r="V85" s="61"/>
      <c r="W85" s="61"/>
      <c r="X85" s="61"/>
      <c r="Y85" s="61"/>
      <c r="Z85" s="61"/>
      <c r="AA85" s="61"/>
      <c r="AB85" s="61"/>
      <c r="AC85" s="61"/>
      <c r="AD85" s="61"/>
      <c r="AE85" s="61"/>
      <c r="AF85" s="61"/>
      <c r="AG85" s="61"/>
      <c r="AH85" s="40"/>
      <c r="AI85" s="40"/>
      <c r="AJ85" s="40"/>
      <c r="AK85" s="40"/>
      <c r="AL85" s="40"/>
      <c r="AM85" s="40"/>
      <c r="AN85" s="40"/>
    </row>
    <row r="86" spans="1:40" x14ac:dyDescent="0.2">
      <c r="A86" s="36" t="str">
        <f t="shared" si="27"/>
        <v>≥ TAC Level 3 Aircrewmen</v>
      </c>
      <c r="B86" s="146" t="str">
        <f t="shared" ref="B86:M86" si="53">IF($B135 = "NA","NA",ROUNDUP(IF(B$13="Deploy",MAX((B$104/100)*$B135,$B135),(B$104/100)*$B135),0))</f>
        <v>NA</v>
      </c>
      <c r="C86" s="146" t="str">
        <f t="shared" si="53"/>
        <v>NA</v>
      </c>
      <c r="D86" s="146" t="str">
        <f t="shared" si="53"/>
        <v>NA</v>
      </c>
      <c r="E86" s="146" t="str">
        <f t="shared" si="53"/>
        <v>NA</v>
      </c>
      <c r="F86" s="146" t="str">
        <f t="shared" si="53"/>
        <v>NA</v>
      </c>
      <c r="G86" s="146" t="str">
        <f t="shared" si="53"/>
        <v>NA</v>
      </c>
      <c r="H86" s="146" t="str">
        <f t="shared" si="53"/>
        <v>NA</v>
      </c>
      <c r="I86" s="146" t="str">
        <f t="shared" si="53"/>
        <v>NA</v>
      </c>
      <c r="J86" s="146" t="str">
        <f t="shared" si="53"/>
        <v>NA</v>
      </c>
      <c r="K86" s="146" t="str">
        <f t="shared" si="53"/>
        <v>NA</v>
      </c>
      <c r="L86" s="146" t="str">
        <f t="shared" si="53"/>
        <v>NA</v>
      </c>
      <c r="M86" s="146" t="str">
        <f t="shared" si="53"/>
        <v>NA</v>
      </c>
      <c r="N86" s="61"/>
      <c r="O86" s="61"/>
      <c r="P86" s="61"/>
      <c r="Q86" s="61"/>
      <c r="R86" s="61"/>
      <c r="S86" s="61"/>
      <c r="T86" s="61"/>
      <c r="U86" s="61"/>
      <c r="V86" s="61"/>
      <c r="W86" s="61"/>
      <c r="X86" s="61"/>
      <c r="Y86" s="61"/>
      <c r="Z86" s="61"/>
      <c r="AA86" s="61"/>
      <c r="AB86" s="61"/>
      <c r="AC86" s="61"/>
      <c r="AD86" s="61"/>
      <c r="AE86" s="61"/>
      <c r="AF86" s="61"/>
      <c r="AG86" s="61"/>
      <c r="AH86" s="40"/>
      <c r="AI86" s="40"/>
      <c r="AJ86" s="40"/>
      <c r="AK86" s="40"/>
      <c r="AL86" s="40"/>
      <c r="AM86" s="40"/>
      <c r="AN86" s="40"/>
    </row>
    <row r="87" spans="1:40" x14ac:dyDescent="0.2">
      <c r="A87" s="36" t="str">
        <f t="shared" si="27"/>
        <v>≥ TAC Level 2 Aircrewmen</v>
      </c>
      <c r="B87" s="146" t="str">
        <f t="shared" ref="B87:M87" si="54">IF($B136 = "NA","NA",ROUNDUP(IF(B$13="Deploy",MAX((B$104/100)*$B136,$B136),(B$104/100)*$B136),0))</f>
        <v>NA</v>
      </c>
      <c r="C87" s="146" t="str">
        <f t="shared" si="54"/>
        <v>NA</v>
      </c>
      <c r="D87" s="146" t="str">
        <f t="shared" si="54"/>
        <v>NA</v>
      </c>
      <c r="E87" s="146" t="str">
        <f t="shared" si="54"/>
        <v>NA</v>
      </c>
      <c r="F87" s="146" t="str">
        <f t="shared" si="54"/>
        <v>NA</v>
      </c>
      <c r="G87" s="146" t="str">
        <f t="shared" si="54"/>
        <v>NA</v>
      </c>
      <c r="H87" s="146" t="str">
        <f t="shared" si="54"/>
        <v>NA</v>
      </c>
      <c r="I87" s="146" t="str">
        <f t="shared" si="54"/>
        <v>NA</v>
      </c>
      <c r="J87" s="146" t="str">
        <f t="shared" si="54"/>
        <v>NA</v>
      </c>
      <c r="K87" s="146" t="str">
        <f t="shared" si="54"/>
        <v>NA</v>
      </c>
      <c r="L87" s="146" t="str">
        <f t="shared" si="54"/>
        <v>NA</v>
      </c>
      <c r="M87" s="146" t="str">
        <f t="shared" si="54"/>
        <v>NA</v>
      </c>
      <c r="N87" s="61"/>
      <c r="O87" s="61"/>
      <c r="P87" s="61"/>
      <c r="Q87" s="61"/>
      <c r="R87" s="61"/>
      <c r="S87" s="61"/>
      <c r="T87" s="61"/>
      <c r="U87" s="61"/>
      <c r="V87" s="61"/>
      <c r="W87" s="61"/>
      <c r="X87" s="61"/>
      <c r="Y87" s="61"/>
      <c r="Z87" s="61"/>
      <c r="AA87" s="61"/>
      <c r="AB87" s="61"/>
      <c r="AC87" s="61"/>
      <c r="AD87" s="61"/>
      <c r="AE87" s="61"/>
      <c r="AF87" s="61"/>
      <c r="AG87" s="61"/>
      <c r="AH87" s="40"/>
      <c r="AI87" s="40"/>
      <c r="AJ87" s="40"/>
      <c r="AK87" s="40"/>
      <c r="AL87" s="40"/>
      <c r="AM87" s="40"/>
      <c r="AN87" s="40"/>
    </row>
    <row r="88" spans="1:40" x14ac:dyDescent="0.2">
      <c r="A88" s="36" t="str">
        <f t="shared" si="27"/>
        <v>Aerial Gunnery Instructor (AGI) Aircrewmen</v>
      </c>
      <c r="B88" s="146" t="str">
        <f t="shared" ref="B88:M88" si="55">IF($B137 = "NA","NA",ROUNDUP(IF(B$13="Deploy",MAX((B$104/100)*$B137,$B137),(B$104/100)*$B137),0))</f>
        <v>NA</v>
      </c>
      <c r="C88" s="146" t="str">
        <f t="shared" si="55"/>
        <v>NA</v>
      </c>
      <c r="D88" s="146" t="str">
        <f t="shared" si="55"/>
        <v>NA</v>
      </c>
      <c r="E88" s="146" t="str">
        <f t="shared" si="55"/>
        <v>NA</v>
      </c>
      <c r="F88" s="146" t="str">
        <f t="shared" si="55"/>
        <v>NA</v>
      </c>
      <c r="G88" s="146" t="str">
        <f t="shared" si="55"/>
        <v>NA</v>
      </c>
      <c r="H88" s="146" t="str">
        <f t="shared" si="55"/>
        <v>NA</v>
      </c>
      <c r="I88" s="146" t="str">
        <f t="shared" si="55"/>
        <v>NA</v>
      </c>
      <c r="J88" s="146" t="str">
        <f t="shared" si="55"/>
        <v>NA</v>
      </c>
      <c r="K88" s="146" t="str">
        <f t="shared" si="55"/>
        <v>NA</v>
      </c>
      <c r="L88" s="146" t="str">
        <f t="shared" si="55"/>
        <v>NA</v>
      </c>
      <c r="M88" s="146" t="str">
        <f t="shared" si="55"/>
        <v>NA</v>
      </c>
      <c r="N88" s="61"/>
      <c r="O88" s="61"/>
      <c r="P88" s="61"/>
      <c r="Q88" s="61"/>
      <c r="R88" s="61"/>
      <c r="S88" s="61"/>
      <c r="T88" s="61"/>
      <c r="U88" s="61"/>
      <c r="V88" s="61"/>
      <c r="W88" s="61"/>
      <c r="X88" s="61"/>
      <c r="Y88" s="61"/>
      <c r="Z88" s="61"/>
      <c r="AA88" s="61"/>
      <c r="AB88" s="61"/>
      <c r="AC88" s="61"/>
      <c r="AD88" s="61"/>
      <c r="AE88" s="61"/>
      <c r="AF88" s="61"/>
      <c r="AG88" s="61"/>
      <c r="AH88" s="40"/>
      <c r="AI88" s="40"/>
      <c r="AJ88" s="40"/>
      <c r="AK88" s="40"/>
      <c r="AL88" s="40"/>
      <c r="AM88" s="40"/>
      <c r="AN88" s="40"/>
    </row>
    <row r="89" spans="1:40" x14ac:dyDescent="0.2">
      <c r="A89" s="36" t="str">
        <f t="shared" si="27"/>
        <v>Aerial Gunner (AG) Aircrewmen</v>
      </c>
      <c r="B89" s="146">
        <f t="shared" ref="B89:M89" si="56">IF($B138 = "NA","NA",ROUNDUP(IF(B$13="Deploy",MAX((B$104/100)*$B138,$B138),(B$104/100)*$B138),0))</f>
        <v>2</v>
      </c>
      <c r="C89" s="146">
        <f t="shared" si="56"/>
        <v>2</v>
      </c>
      <c r="D89" s="146">
        <f t="shared" si="56"/>
        <v>2</v>
      </c>
      <c r="E89" s="146">
        <f t="shared" si="56"/>
        <v>3</v>
      </c>
      <c r="F89" s="146">
        <f t="shared" si="56"/>
        <v>3</v>
      </c>
      <c r="G89" s="146">
        <f t="shared" si="56"/>
        <v>4</v>
      </c>
      <c r="H89" s="146">
        <f t="shared" si="56"/>
        <v>4</v>
      </c>
      <c r="I89" s="146">
        <f t="shared" si="56"/>
        <v>4</v>
      </c>
      <c r="J89" s="146">
        <f t="shared" si="56"/>
        <v>4</v>
      </c>
      <c r="K89" s="146">
        <f t="shared" si="56"/>
        <v>4</v>
      </c>
      <c r="L89" s="146">
        <f t="shared" si="56"/>
        <v>4</v>
      </c>
      <c r="M89" s="146">
        <f t="shared" si="56"/>
        <v>2</v>
      </c>
      <c r="N89" s="61"/>
      <c r="O89" s="61"/>
      <c r="P89" s="61"/>
      <c r="Q89" s="61"/>
      <c r="R89" s="61"/>
      <c r="S89" s="61"/>
      <c r="T89" s="61"/>
      <c r="U89" s="61"/>
      <c r="V89" s="61"/>
      <c r="W89" s="61"/>
      <c r="X89" s="61"/>
      <c r="Y89" s="61"/>
      <c r="Z89" s="61"/>
      <c r="AA89" s="61"/>
      <c r="AB89" s="61"/>
      <c r="AC89" s="61"/>
      <c r="AD89" s="61"/>
      <c r="AE89" s="61"/>
      <c r="AF89" s="61"/>
      <c r="AG89" s="61"/>
      <c r="AH89" s="40"/>
      <c r="AI89" s="40"/>
      <c r="AJ89" s="40"/>
      <c r="AK89" s="40"/>
      <c r="AL89" s="40"/>
      <c r="AM89" s="40"/>
      <c r="AN89" s="40"/>
    </row>
    <row r="90" spans="1:40" x14ac:dyDescent="0.2">
      <c r="A90" s="36" t="str">
        <f t="shared" si="27"/>
        <v>Mountain Flying School Aircrewmen</v>
      </c>
      <c r="B90" s="146" t="str">
        <f t="shared" ref="B90:M90" si="57">IF($B139 = "NA","NA",ROUNDUP(IF(B$13="Deploy",MAX((B$104/100)*$B139,$B139),(B$104/100)*$B139),0))</f>
        <v>NA</v>
      </c>
      <c r="C90" s="146" t="str">
        <f t="shared" si="57"/>
        <v>NA</v>
      </c>
      <c r="D90" s="146" t="str">
        <f t="shared" si="57"/>
        <v>NA</v>
      </c>
      <c r="E90" s="146" t="str">
        <f t="shared" si="57"/>
        <v>NA</v>
      </c>
      <c r="F90" s="146" t="str">
        <f t="shared" si="57"/>
        <v>NA</v>
      </c>
      <c r="G90" s="146" t="str">
        <f t="shared" si="57"/>
        <v>NA</v>
      </c>
      <c r="H90" s="146" t="str">
        <f t="shared" si="57"/>
        <v>NA</v>
      </c>
      <c r="I90" s="146" t="str">
        <f t="shared" si="57"/>
        <v>NA</v>
      </c>
      <c r="J90" s="146" t="str">
        <f t="shared" si="57"/>
        <v>NA</v>
      </c>
      <c r="K90" s="146" t="str">
        <f t="shared" si="57"/>
        <v>NA</v>
      </c>
      <c r="L90" s="146" t="str">
        <f t="shared" si="57"/>
        <v>NA</v>
      </c>
      <c r="M90" s="146" t="str">
        <f t="shared" si="57"/>
        <v>NA</v>
      </c>
      <c r="N90" s="61"/>
      <c r="O90" s="61"/>
      <c r="P90" s="61"/>
      <c r="Q90" s="61"/>
      <c r="R90" s="61"/>
      <c r="S90" s="61"/>
      <c r="T90" s="61"/>
      <c r="U90" s="61"/>
      <c r="V90" s="61"/>
      <c r="W90" s="61"/>
      <c r="X90" s="61"/>
      <c r="Y90" s="61"/>
      <c r="Z90" s="61"/>
      <c r="AA90" s="61"/>
      <c r="AB90" s="61"/>
      <c r="AC90" s="61"/>
      <c r="AD90" s="61"/>
      <c r="AE90" s="61"/>
      <c r="AF90" s="61"/>
      <c r="AG90" s="61"/>
      <c r="AH90" s="40"/>
      <c r="AI90" s="40"/>
      <c r="AJ90" s="40"/>
      <c r="AK90" s="40"/>
      <c r="AL90" s="40"/>
      <c r="AM90" s="40"/>
      <c r="AN90" s="40"/>
    </row>
    <row r="91" spans="1:40" x14ac:dyDescent="0.2">
      <c r="A91" s="36" t="str">
        <f t="shared" si="27"/>
        <v>≥ HM (Paramedic) Aircrewmen</v>
      </c>
      <c r="B91" s="146" t="str">
        <f t="shared" ref="B91:M91" si="58">IF($B140 = "NA","NA",ROUNDUP(IF(B$13="Deploy",MAX((B$104/100)*$B140,$B140),(B$104/100)*$B140),0))</f>
        <v>NA</v>
      </c>
      <c r="C91" s="146" t="str">
        <f t="shared" si="58"/>
        <v>NA</v>
      </c>
      <c r="D91" s="146" t="str">
        <f t="shared" si="58"/>
        <v>NA</v>
      </c>
      <c r="E91" s="146" t="str">
        <f t="shared" si="58"/>
        <v>NA</v>
      </c>
      <c r="F91" s="146" t="str">
        <f t="shared" si="58"/>
        <v>NA</v>
      </c>
      <c r="G91" s="146" t="str">
        <f t="shared" si="58"/>
        <v>NA</v>
      </c>
      <c r="H91" s="146" t="str">
        <f t="shared" si="58"/>
        <v>NA</v>
      </c>
      <c r="I91" s="146" t="str">
        <f t="shared" si="58"/>
        <v>NA</v>
      </c>
      <c r="J91" s="146" t="str">
        <f t="shared" si="58"/>
        <v>NA</v>
      </c>
      <c r="K91" s="146" t="str">
        <f t="shared" si="58"/>
        <v>NA</v>
      </c>
      <c r="L91" s="146" t="str">
        <f t="shared" si="58"/>
        <v>NA</v>
      </c>
      <c r="M91" s="146" t="str">
        <f t="shared" si="58"/>
        <v>NA</v>
      </c>
      <c r="N91" s="61"/>
      <c r="O91" s="61"/>
      <c r="P91" s="61"/>
      <c r="Q91" s="61"/>
      <c r="R91" s="61"/>
      <c r="S91" s="61"/>
      <c r="T91" s="61"/>
      <c r="U91" s="61"/>
      <c r="V91" s="61"/>
      <c r="W91" s="61"/>
      <c r="X91" s="61"/>
      <c r="Y91" s="61"/>
      <c r="Z91" s="61"/>
      <c r="AA91" s="61"/>
      <c r="AB91" s="61"/>
      <c r="AC91" s="61"/>
      <c r="AD91" s="61"/>
      <c r="AE91" s="61"/>
      <c r="AF91" s="61"/>
      <c r="AG91" s="61"/>
      <c r="AH91" s="40"/>
      <c r="AI91" s="40"/>
      <c r="AJ91" s="40"/>
      <c r="AK91" s="40"/>
      <c r="AL91" s="40"/>
      <c r="AM91" s="40"/>
      <c r="AN91" s="40"/>
    </row>
    <row r="92" spans="1:40" x14ac:dyDescent="0.2">
      <c r="A92" s="36" t="str">
        <f t="shared" si="27"/>
        <v>Required Skilled Crews</v>
      </c>
      <c r="B92" s="146">
        <f t="shared" ref="B92:M92" si="59">IF($B141 = "NA","NA",ROUNDUP(IF(B$13="Deploy",MAX((B$104/100)*$B141,$B141),(B$104/100)*$B141),0))</f>
        <v>1</v>
      </c>
      <c r="C92" s="146">
        <f t="shared" si="59"/>
        <v>1</v>
      </c>
      <c r="D92" s="146">
        <f t="shared" si="59"/>
        <v>1</v>
      </c>
      <c r="E92" s="146">
        <f t="shared" si="59"/>
        <v>2</v>
      </c>
      <c r="F92" s="146">
        <f t="shared" si="59"/>
        <v>2</v>
      </c>
      <c r="G92" s="146">
        <f t="shared" si="59"/>
        <v>2</v>
      </c>
      <c r="H92" s="146">
        <f t="shared" si="59"/>
        <v>2</v>
      </c>
      <c r="I92" s="146">
        <f t="shared" si="59"/>
        <v>2</v>
      </c>
      <c r="J92" s="146">
        <f t="shared" si="59"/>
        <v>2</v>
      </c>
      <c r="K92" s="146">
        <f t="shared" si="59"/>
        <v>2</v>
      </c>
      <c r="L92" s="146">
        <f t="shared" si="59"/>
        <v>2</v>
      </c>
      <c r="M92" s="146">
        <f t="shared" si="59"/>
        <v>1</v>
      </c>
      <c r="N92" s="61"/>
      <c r="O92" s="61"/>
      <c r="P92" s="61"/>
      <c r="Q92" s="61"/>
      <c r="R92" s="61"/>
      <c r="S92" s="61"/>
      <c r="T92" s="61"/>
      <c r="U92" s="61"/>
      <c r="V92" s="61"/>
      <c r="W92" s="61"/>
      <c r="X92" s="61"/>
      <c r="Y92" s="61"/>
      <c r="Z92" s="61"/>
      <c r="AA92" s="61"/>
      <c r="AB92" s="61"/>
      <c r="AC92" s="61"/>
      <c r="AD92" s="61"/>
      <c r="AE92" s="61"/>
      <c r="AF92" s="61"/>
      <c r="AG92" s="61"/>
      <c r="AH92" s="40"/>
      <c r="AI92" s="40"/>
      <c r="AJ92" s="40"/>
      <c r="AK92" s="40"/>
      <c r="AL92" s="40"/>
      <c r="AM92" s="40"/>
      <c r="AN92" s="40"/>
    </row>
    <row r="93" spans="1:40" x14ac:dyDescent="0.2">
      <c r="A93" s="629"/>
      <c r="N93" s="61"/>
      <c r="O93" s="61"/>
      <c r="P93" s="61"/>
      <c r="Q93" s="61"/>
      <c r="R93" s="61"/>
      <c r="S93" s="61"/>
      <c r="T93" s="61"/>
      <c r="U93" s="61"/>
      <c r="V93" s="61"/>
      <c r="W93" s="61"/>
      <c r="X93" s="61"/>
      <c r="Y93" s="61"/>
      <c r="Z93" s="61"/>
      <c r="AA93" s="61"/>
      <c r="AB93" s="61"/>
      <c r="AC93" s="61"/>
      <c r="AD93" s="61"/>
      <c r="AE93" s="61"/>
      <c r="AF93" s="61"/>
      <c r="AG93" s="61"/>
      <c r="AH93" s="40"/>
      <c r="AI93" s="40"/>
      <c r="AJ93" s="40"/>
      <c r="AK93" s="40"/>
      <c r="AL93" s="40"/>
      <c r="AM93" s="40"/>
      <c r="AN93" s="40"/>
    </row>
    <row r="94" spans="1:40" x14ac:dyDescent="0.2">
      <c r="A94" s="629"/>
      <c r="N94" s="61"/>
      <c r="O94" s="61"/>
      <c r="P94" s="61"/>
      <c r="Q94" s="61"/>
      <c r="R94" s="61"/>
      <c r="S94" s="61"/>
      <c r="T94" s="61"/>
      <c r="U94" s="61"/>
      <c r="V94" s="61"/>
      <c r="W94" s="61"/>
      <c r="X94" s="61"/>
      <c r="Y94" s="61"/>
      <c r="Z94" s="61"/>
      <c r="AA94" s="61"/>
      <c r="AB94" s="61"/>
      <c r="AC94" s="61"/>
      <c r="AD94" s="61"/>
      <c r="AE94" s="61"/>
      <c r="AF94" s="61"/>
      <c r="AG94" s="61"/>
      <c r="AH94" s="40"/>
      <c r="AI94" s="40"/>
      <c r="AJ94" s="40"/>
      <c r="AK94" s="40"/>
      <c r="AL94" s="40"/>
      <c r="AM94" s="40"/>
      <c r="AN94" s="40"/>
    </row>
    <row r="95" spans="1:40" x14ac:dyDescent="0.2">
      <c r="A95" s="629"/>
      <c r="N95" s="61"/>
      <c r="O95" s="61"/>
      <c r="P95" s="61"/>
      <c r="Q95" s="61"/>
      <c r="R95" s="61"/>
      <c r="S95" s="61"/>
      <c r="T95" s="61"/>
      <c r="U95" s="61"/>
      <c r="V95" s="61"/>
      <c r="W95" s="61"/>
      <c r="X95" s="61"/>
      <c r="Y95" s="61"/>
      <c r="Z95" s="61"/>
      <c r="AA95" s="61"/>
      <c r="AB95" s="61"/>
      <c r="AC95" s="61"/>
      <c r="AD95" s="61"/>
      <c r="AE95" s="61"/>
      <c r="AF95" s="61"/>
      <c r="AG95" s="61"/>
      <c r="AH95" s="40"/>
      <c r="AI95" s="40"/>
      <c r="AJ95" s="40"/>
      <c r="AK95" s="40"/>
      <c r="AL95" s="40"/>
      <c r="AM95" s="40"/>
      <c r="AN95" s="40"/>
    </row>
    <row r="96" spans="1:40" x14ac:dyDescent="0.2">
      <c r="A96" s="629"/>
      <c r="N96" s="61"/>
      <c r="O96" s="61"/>
      <c r="P96" s="61"/>
      <c r="Q96" s="61"/>
      <c r="R96" s="61"/>
      <c r="S96" s="61"/>
      <c r="T96" s="61"/>
      <c r="U96" s="61"/>
      <c r="V96" s="61"/>
      <c r="W96" s="61"/>
      <c r="X96" s="61"/>
      <c r="Y96" s="61"/>
      <c r="Z96" s="61"/>
      <c r="AA96" s="61"/>
      <c r="AB96" s="61"/>
      <c r="AC96" s="61"/>
      <c r="AD96" s="61"/>
      <c r="AE96" s="61"/>
      <c r="AF96" s="61"/>
      <c r="AG96" s="61"/>
      <c r="AH96" s="40"/>
      <c r="AI96" s="40"/>
      <c r="AJ96" s="40"/>
      <c r="AK96" s="40"/>
      <c r="AL96" s="40"/>
      <c r="AM96" s="40"/>
      <c r="AN96" s="40"/>
    </row>
    <row r="97" spans="1:49" ht="12.75" thickBot="1" x14ac:dyDescent="0.25">
      <c r="A97" s="629"/>
      <c r="N97" s="61"/>
      <c r="O97" s="61"/>
      <c r="P97" s="61"/>
      <c r="Q97" s="61"/>
      <c r="R97" s="61"/>
      <c r="S97" s="61"/>
      <c r="T97" s="61"/>
      <c r="U97" s="61"/>
      <c r="V97" s="61"/>
      <c r="W97" s="61"/>
      <c r="X97" s="61"/>
      <c r="Y97" s="61"/>
      <c r="Z97" s="61"/>
      <c r="AA97" s="61"/>
      <c r="AB97" s="61"/>
      <c r="AC97" s="61"/>
      <c r="AD97" s="61"/>
      <c r="AE97" s="61"/>
      <c r="AF97" s="61"/>
      <c r="AG97" s="61"/>
      <c r="AH97" s="40"/>
      <c r="AI97" s="40"/>
      <c r="AJ97" s="40"/>
      <c r="AK97" s="40"/>
      <c r="AL97" s="40"/>
      <c r="AM97" s="40"/>
      <c r="AN97" s="40"/>
    </row>
    <row r="98" spans="1:49" ht="13.5" customHeight="1" thickBot="1" x14ac:dyDescent="0.25">
      <c r="A98" s="773" t="s">
        <v>170</v>
      </c>
      <c r="B98" s="774"/>
      <c r="C98" s="774"/>
      <c r="D98" s="774"/>
      <c r="E98" s="774"/>
      <c r="F98" s="774"/>
      <c r="G98" s="774"/>
      <c r="H98" s="774"/>
      <c r="I98" s="774"/>
      <c r="J98" s="774"/>
      <c r="K98" s="774"/>
      <c r="L98" s="774"/>
      <c r="M98" s="775"/>
      <c r="N98" s="471"/>
      <c r="O98" s="471"/>
      <c r="P98" s="471"/>
      <c r="Q98" s="471"/>
      <c r="R98" s="471"/>
      <c r="S98" s="471"/>
      <c r="T98" s="471"/>
      <c r="U98" s="471"/>
      <c r="V98" s="471"/>
      <c r="W98" s="471"/>
      <c r="X98" s="471"/>
      <c r="Y98" s="471"/>
      <c r="Z98" s="471"/>
      <c r="AA98" s="471"/>
      <c r="AB98" s="471"/>
      <c r="AC98" s="471"/>
      <c r="AD98" s="471"/>
      <c r="AE98" s="471"/>
      <c r="AF98" s="471"/>
      <c r="AG98" s="471"/>
      <c r="AH98" s="107"/>
      <c r="AI98" s="107"/>
      <c r="AJ98" s="107"/>
    </row>
    <row r="99" spans="1:49" x14ac:dyDescent="0.2">
      <c r="A99" s="148" t="s">
        <v>171</v>
      </c>
      <c r="B99" s="158">
        <f>MIN(100,B101+$B$105)</f>
        <v>48.246363244604716</v>
      </c>
      <c r="C99" s="158">
        <f t="shared" ref="C99:L99" si="60">MIN(100,C101+$B$105)</f>
        <v>48.246363244604716</v>
      </c>
      <c r="D99" s="158">
        <f t="shared" si="60"/>
        <v>48.246363244604716</v>
      </c>
      <c r="E99" s="158">
        <f>MIN(100,E101+$B$105)</f>
        <v>63.246363244604716</v>
      </c>
      <c r="F99" s="158">
        <f t="shared" si="60"/>
        <v>85.246363244604709</v>
      </c>
      <c r="G99" s="158">
        <f t="shared" si="60"/>
        <v>100</v>
      </c>
      <c r="H99" s="158">
        <f t="shared" si="60"/>
        <v>100</v>
      </c>
      <c r="I99" s="158">
        <f t="shared" si="60"/>
        <v>100</v>
      </c>
      <c r="J99" s="158">
        <f t="shared" si="60"/>
        <v>100</v>
      </c>
      <c r="K99" s="158">
        <f t="shared" si="60"/>
        <v>100</v>
      </c>
      <c r="L99" s="158">
        <f t="shared" si="60"/>
        <v>100</v>
      </c>
      <c r="M99" s="149">
        <f>MIN(100,M101+$B105)</f>
        <v>73.246363244604709</v>
      </c>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row>
    <row r="100" spans="1:49" x14ac:dyDescent="0.2">
      <c r="A100" s="54" t="s">
        <v>172</v>
      </c>
      <c r="B100" s="101">
        <f>MIN(100,B101+$B$106)</f>
        <v>20</v>
      </c>
      <c r="C100" s="101">
        <f t="shared" ref="C100:L100" si="61">MIN(100,C101+$B$106)</f>
        <v>20</v>
      </c>
      <c r="D100" s="101">
        <f t="shared" si="61"/>
        <v>20</v>
      </c>
      <c r="E100" s="101">
        <f t="shared" si="61"/>
        <v>35</v>
      </c>
      <c r="F100" s="101">
        <f t="shared" si="61"/>
        <v>57</v>
      </c>
      <c r="G100" s="101">
        <f t="shared" si="61"/>
        <v>100</v>
      </c>
      <c r="H100" s="101">
        <f t="shared" si="61"/>
        <v>100</v>
      </c>
      <c r="I100" s="101">
        <f t="shared" si="61"/>
        <v>100</v>
      </c>
      <c r="J100" s="101">
        <f t="shared" si="61"/>
        <v>100</v>
      </c>
      <c r="K100" s="101">
        <f t="shared" si="61"/>
        <v>100</v>
      </c>
      <c r="L100" s="101">
        <f t="shared" si="61"/>
        <v>100</v>
      </c>
      <c r="M100" s="56">
        <f>MIN(100,M101+$B106)</f>
        <v>45</v>
      </c>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row>
    <row r="101" spans="1:49" x14ac:dyDescent="0.2">
      <c r="A101" s="54" t="s">
        <v>173</v>
      </c>
      <c r="B101" s="102">
        <v>5</v>
      </c>
      <c r="C101" s="102">
        <v>5</v>
      </c>
      <c r="D101" s="437">
        <v>5</v>
      </c>
      <c r="E101" s="437">
        <v>20</v>
      </c>
      <c r="F101" s="437">
        <v>42</v>
      </c>
      <c r="G101" s="437">
        <v>100</v>
      </c>
      <c r="H101" s="437">
        <v>100</v>
      </c>
      <c r="I101" s="437">
        <v>100</v>
      </c>
      <c r="J101" s="437">
        <v>100</v>
      </c>
      <c r="K101" s="437">
        <v>100</v>
      </c>
      <c r="L101" s="437">
        <v>100</v>
      </c>
      <c r="M101" s="70">
        <v>30</v>
      </c>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0"/>
      <c r="AL101" s="100"/>
      <c r="AM101" s="100"/>
      <c r="AN101" s="100"/>
      <c r="AO101" s="100"/>
      <c r="AP101" s="100"/>
    </row>
    <row r="102" spans="1:49" s="72" customFormat="1" x14ac:dyDescent="0.2">
      <c r="A102" s="54" t="s">
        <v>174</v>
      </c>
      <c r="B102" s="101">
        <f t="shared" ref="B102:L102" si="62">MIN(80,IF(B13="Deploy",80,MAX(0,B101-$B$106)))</f>
        <v>0</v>
      </c>
      <c r="C102" s="101">
        <f t="shared" si="62"/>
        <v>0</v>
      </c>
      <c r="D102" s="101">
        <f t="shared" si="62"/>
        <v>0</v>
      </c>
      <c r="E102" s="101">
        <f t="shared" si="62"/>
        <v>5</v>
      </c>
      <c r="F102" s="101">
        <f t="shared" si="62"/>
        <v>27</v>
      </c>
      <c r="G102" s="101">
        <f t="shared" si="62"/>
        <v>80</v>
      </c>
      <c r="H102" s="101">
        <f t="shared" si="62"/>
        <v>80</v>
      </c>
      <c r="I102" s="101">
        <f t="shared" si="62"/>
        <v>80</v>
      </c>
      <c r="J102" s="101">
        <f t="shared" si="62"/>
        <v>80</v>
      </c>
      <c r="K102" s="101">
        <f t="shared" si="62"/>
        <v>80</v>
      </c>
      <c r="L102" s="101">
        <f t="shared" si="62"/>
        <v>80</v>
      </c>
      <c r="M102" s="56">
        <f>MIN(80,IF(M$13="Deploy",80,MAX(0,M101-$B106)))</f>
        <v>15</v>
      </c>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28"/>
      <c r="AL102" s="28"/>
      <c r="AM102" s="28"/>
      <c r="AN102" s="28"/>
      <c r="AO102" s="28"/>
      <c r="AP102" s="28"/>
      <c r="AQ102" s="28"/>
      <c r="AR102" s="28"/>
      <c r="AS102" s="28"/>
      <c r="AT102" s="28"/>
      <c r="AU102" s="28"/>
      <c r="AV102" s="28"/>
      <c r="AW102" s="28"/>
    </row>
    <row r="103" spans="1:49" s="72" customFormat="1" ht="12.75" thickBot="1" x14ac:dyDescent="0.25">
      <c r="A103" s="57" t="s">
        <v>175</v>
      </c>
      <c r="B103" s="103">
        <f t="shared" ref="B103:L103" si="63">MIN(60,IF(B13="Deploy",60,MAX(0,B101-$B$105)))</f>
        <v>0</v>
      </c>
      <c r="C103" s="103">
        <f t="shared" si="63"/>
        <v>0</v>
      </c>
      <c r="D103" s="103">
        <f t="shared" si="63"/>
        <v>0</v>
      </c>
      <c r="E103" s="103">
        <f t="shared" si="63"/>
        <v>0</v>
      </c>
      <c r="F103" s="103">
        <f t="shared" si="63"/>
        <v>0</v>
      </c>
      <c r="G103" s="103">
        <f t="shared" si="63"/>
        <v>60</v>
      </c>
      <c r="H103" s="103">
        <f t="shared" si="63"/>
        <v>60</v>
      </c>
      <c r="I103" s="103">
        <f t="shared" si="63"/>
        <v>60</v>
      </c>
      <c r="J103" s="103">
        <f t="shared" si="63"/>
        <v>60</v>
      </c>
      <c r="K103" s="103">
        <f t="shared" si="63"/>
        <v>60</v>
      </c>
      <c r="L103" s="103">
        <f t="shared" si="63"/>
        <v>60</v>
      </c>
      <c r="M103" s="59">
        <f>MIN(80,IF(M$13="Deploy",60,MAX(0,M101-$B105)))</f>
        <v>0</v>
      </c>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28"/>
      <c r="AL103" s="28"/>
      <c r="AM103" s="28"/>
      <c r="AN103" s="28"/>
      <c r="AO103" s="28"/>
      <c r="AP103" s="28"/>
      <c r="AQ103" s="28"/>
      <c r="AR103" s="28"/>
      <c r="AS103" s="28"/>
      <c r="AT103" s="28"/>
      <c r="AU103" s="28"/>
      <c r="AV103" s="28"/>
      <c r="AW103" s="28"/>
    </row>
    <row r="104" spans="1:49" s="72" customFormat="1" ht="12.75" thickBot="1" x14ac:dyDescent="0.25">
      <c r="A104" s="219" t="s">
        <v>176</v>
      </c>
      <c r="B104" s="220">
        <v>37</v>
      </c>
      <c r="C104" s="220">
        <v>37</v>
      </c>
      <c r="D104" s="221">
        <v>46</v>
      </c>
      <c r="E104" s="221">
        <v>54</v>
      </c>
      <c r="F104" s="221">
        <v>61</v>
      </c>
      <c r="G104" s="221">
        <v>100</v>
      </c>
      <c r="H104" s="221">
        <v>100</v>
      </c>
      <c r="I104" s="221">
        <v>100</v>
      </c>
      <c r="J104" s="221">
        <v>100</v>
      </c>
      <c r="K104" s="221">
        <v>100</v>
      </c>
      <c r="L104" s="221">
        <v>100</v>
      </c>
      <c r="M104" s="222">
        <v>30</v>
      </c>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8"/>
      <c r="AI104" s="108"/>
      <c r="AJ104" s="108"/>
      <c r="AK104" s="28"/>
      <c r="AL104" s="28"/>
      <c r="AM104" s="28"/>
      <c r="AN104" s="28"/>
      <c r="AO104" s="28"/>
      <c r="AP104" s="28"/>
      <c r="AQ104" s="28"/>
      <c r="AR104" s="28"/>
      <c r="AS104" s="28"/>
      <c r="AT104" s="28"/>
      <c r="AU104" s="28"/>
      <c r="AV104" s="28"/>
      <c r="AW104" s="28"/>
    </row>
    <row r="105" spans="1:49" s="72" customFormat="1" x14ac:dyDescent="0.2">
      <c r="A105" s="78" t="s">
        <v>177</v>
      </c>
      <c r="B105" s="104">
        <f t="array" ref="B105">SQRT(SUM(POWER(AVERAGE(B101:L101)-(B101:L101),2))/COUNT(B101:L101))*1</f>
        <v>43.246363244604716</v>
      </c>
      <c r="C105" s="105"/>
      <c r="D105" s="105"/>
      <c r="E105" s="105"/>
      <c r="F105" s="105"/>
      <c r="G105" s="105"/>
      <c r="H105" s="105"/>
      <c r="I105" s="105"/>
      <c r="J105" s="105"/>
      <c r="K105" s="105"/>
      <c r="L105" s="105"/>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K105" s="28"/>
      <c r="AP105" s="61"/>
    </row>
    <row r="106" spans="1:49" s="72" customFormat="1" ht="12.75" thickBot="1" x14ac:dyDescent="0.25">
      <c r="A106" s="80" t="s">
        <v>178</v>
      </c>
      <c r="B106" s="106">
        <v>15</v>
      </c>
      <c r="C106" s="105"/>
      <c r="D106" s="105"/>
      <c r="E106" s="105"/>
      <c r="F106" s="105"/>
      <c r="G106" s="105"/>
      <c r="H106" s="105"/>
      <c r="I106" s="105"/>
      <c r="J106" s="105"/>
      <c r="K106" s="105"/>
      <c r="L106" s="105"/>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L106" s="28"/>
      <c r="AP106" s="61"/>
    </row>
    <row r="107" spans="1:49" s="72" customFormat="1" ht="12.75" thickBot="1" x14ac:dyDescent="0.2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L107" s="61"/>
    </row>
    <row r="108" spans="1:49" s="72" customFormat="1" ht="12.75" thickBot="1" x14ac:dyDescent="0.25">
      <c r="A108" s="776" t="s">
        <v>179</v>
      </c>
      <c r="B108" s="777"/>
      <c r="C108" s="28"/>
      <c r="D108" s="28"/>
      <c r="E108" s="28"/>
      <c r="F108" s="28"/>
      <c r="G108" s="28"/>
      <c r="H108" s="28"/>
      <c r="I108" s="28"/>
      <c r="J108" s="28"/>
      <c r="K108" s="28"/>
      <c r="L108" s="28"/>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L108" s="61"/>
    </row>
    <row r="109" spans="1:49" s="72" customFormat="1" ht="12.75" thickBot="1" x14ac:dyDescent="0.25">
      <c r="A109" s="782" t="s">
        <v>180</v>
      </c>
      <c r="B109" s="783"/>
      <c r="C109" s="28"/>
      <c r="D109" s="28"/>
      <c r="E109" s="28"/>
      <c r="F109" s="28"/>
      <c r="G109" s="28"/>
      <c r="H109" s="28"/>
      <c r="I109" s="28"/>
      <c r="J109" s="28"/>
      <c r="K109" s="28"/>
      <c r="L109" s="28"/>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L109" s="28"/>
    </row>
    <row r="110" spans="1:49" s="72" customFormat="1" ht="12.75" thickTop="1" x14ac:dyDescent="0.2">
      <c r="A110" s="281" t="s">
        <v>181</v>
      </c>
      <c r="B110" s="119">
        <v>4</v>
      </c>
      <c r="C110" s="28"/>
      <c r="D110" s="469"/>
      <c r="E110" s="469"/>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L110" s="61"/>
    </row>
    <row r="111" spans="1:49" s="72" customFormat="1" x14ac:dyDescent="0.2">
      <c r="A111" s="282" t="s">
        <v>182</v>
      </c>
      <c r="B111" s="91">
        <v>4</v>
      </c>
      <c r="C111" s="28"/>
      <c r="D111" s="469"/>
      <c r="E111" s="469"/>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L111" s="61"/>
    </row>
    <row r="112" spans="1:49" s="72" customFormat="1" x14ac:dyDescent="0.2">
      <c r="A112" s="282" t="s">
        <v>183</v>
      </c>
      <c r="B112" s="89" t="s">
        <v>193</v>
      </c>
      <c r="C112" s="28"/>
      <c r="D112" s="469"/>
      <c r="E112" s="469"/>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L112" s="61"/>
    </row>
    <row r="113" spans="1:44" s="72" customFormat="1" x14ac:dyDescent="0.2">
      <c r="A113" s="282" t="s">
        <v>184</v>
      </c>
      <c r="B113" s="89" t="s">
        <v>193</v>
      </c>
      <c r="C113" s="28"/>
      <c r="D113" s="469"/>
      <c r="E113" s="469"/>
      <c r="F113" s="28"/>
      <c r="G113" s="28"/>
      <c r="H113" s="28"/>
      <c r="I113" s="28"/>
      <c r="J113" s="28"/>
      <c r="K113" s="28"/>
      <c r="L113" s="28"/>
      <c r="M113" s="64"/>
      <c r="N113" s="64"/>
      <c r="O113" s="64"/>
      <c r="P113" s="64"/>
      <c r="Q113" s="64"/>
      <c r="R113" s="64"/>
      <c r="S113" s="64"/>
      <c r="T113" s="64"/>
      <c r="U113" s="64"/>
      <c r="V113" s="64"/>
      <c r="W113" s="64"/>
      <c r="X113" s="64"/>
      <c r="Y113" s="64"/>
      <c r="Z113" s="64"/>
      <c r="AA113" s="64"/>
      <c r="AB113" s="64"/>
      <c r="AC113" s="64"/>
      <c r="AD113" s="64"/>
      <c r="AE113" s="64"/>
      <c r="AF113" s="64"/>
      <c r="AG113" s="64"/>
      <c r="AH113" s="61"/>
      <c r="AL113" s="28"/>
      <c r="AP113" s="61"/>
    </row>
    <row r="114" spans="1:44" s="72" customFormat="1" x14ac:dyDescent="0.2">
      <c r="A114" s="282" t="s">
        <v>185</v>
      </c>
      <c r="B114" s="120">
        <v>1</v>
      </c>
      <c r="C114" s="28"/>
      <c r="D114" s="469"/>
      <c r="E114" s="469"/>
      <c r="F114" s="28"/>
      <c r="G114" s="28"/>
      <c r="H114" s="28"/>
      <c r="I114" s="28"/>
      <c r="J114" s="28"/>
      <c r="K114" s="28"/>
      <c r="L114" s="28"/>
      <c r="M114" s="75"/>
      <c r="N114" s="75"/>
      <c r="O114" s="75"/>
      <c r="P114" s="75"/>
      <c r="Q114" s="75"/>
      <c r="R114" s="75"/>
      <c r="S114" s="75"/>
      <c r="T114" s="75"/>
      <c r="U114" s="75"/>
      <c r="V114" s="75"/>
      <c r="W114" s="75"/>
      <c r="X114" s="75"/>
      <c r="Y114" s="75"/>
      <c r="Z114" s="75"/>
      <c r="AA114" s="75"/>
      <c r="AB114" s="75"/>
      <c r="AC114" s="75"/>
      <c r="AD114" s="75"/>
      <c r="AE114" s="75"/>
      <c r="AF114" s="75"/>
      <c r="AG114" s="75"/>
      <c r="AH114" s="61"/>
      <c r="AL114" s="61"/>
      <c r="AP114" s="61"/>
    </row>
    <row r="115" spans="1:44" s="72" customFormat="1" x14ac:dyDescent="0.2">
      <c r="A115" s="282" t="s">
        <v>186</v>
      </c>
      <c r="B115" s="120">
        <v>2</v>
      </c>
      <c r="C115" s="28"/>
      <c r="D115" s="469"/>
      <c r="E115" s="469"/>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L115" s="61"/>
    </row>
    <row r="116" spans="1:44" s="72" customFormat="1" x14ac:dyDescent="0.2">
      <c r="A116" s="282" t="s">
        <v>187</v>
      </c>
      <c r="B116" s="120">
        <v>4</v>
      </c>
      <c r="C116" s="28"/>
      <c r="D116" s="469"/>
      <c r="E116" s="469"/>
      <c r="F116" s="28"/>
      <c r="G116" s="28"/>
      <c r="H116" s="28"/>
      <c r="I116" s="28"/>
      <c r="J116" s="28"/>
      <c r="K116" s="28"/>
      <c r="L116" s="28"/>
      <c r="M116" s="60"/>
      <c r="N116" s="60"/>
      <c r="O116" s="60"/>
      <c r="P116" s="60"/>
      <c r="Q116" s="60"/>
      <c r="R116" s="60"/>
      <c r="S116" s="60"/>
      <c r="T116" s="60"/>
      <c r="U116" s="60"/>
      <c r="V116" s="60"/>
      <c r="W116" s="60"/>
      <c r="X116" s="60"/>
      <c r="Y116" s="60"/>
      <c r="Z116" s="60"/>
      <c r="AA116" s="60"/>
      <c r="AB116" s="60"/>
      <c r="AC116" s="60"/>
      <c r="AD116" s="60"/>
      <c r="AE116" s="60"/>
      <c r="AF116" s="60"/>
      <c r="AG116" s="60"/>
      <c r="AH116" s="61"/>
      <c r="AL116" s="61"/>
    </row>
    <row r="117" spans="1:44" s="72" customFormat="1" x14ac:dyDescent="0.2">
      <c r="A117" s="282" t="s">
        <v>188</v>
      </c>
      <c r="B117" s="89" t="s">
        <v>193</v>
      </c>
      <c r="C117" s="28"/>
      <c r="D117" s="469"/>
      <c r="E117" s="469"/>
      <c r="F117" s="28"/>
      <c r="G117" s="28"/>
      <c r="H117" s="28"/>
      <c r="I117" s="28"/>
      <c r="J117" s="28"/>
      <c r="K117" s="28"/>
      <c r="L117" s="28"/>
      <c r="M117" s="75"/>
      <c r="N117" s="75"/>
      <c r="O117" s="75"/>
      <c r="P117" s="75"/>
      <c r="Q117" s="75"/>
      <c r="R117" s="75"/>
      <c r="S117" s="75"/>
      <c r="T117" s="75"/>
      <c r="U117" s="75"/>
      <c r="V117" s="75"/>
      <c r="W117" s="75"/>
      <c r="X117" s="75"/>
      <c r="Y117" s="75"/>
      <c r="Z117" s="75"/>
      <c r="AA117" s="75"/>
      <c r="AB117" s="75"/>
      <c r="AC117" s="75"/>
      <c r="AD117" s="75"/>
      <c r="AE117" s="75"/>
      <c r="AF117" s="75"/>
      <c r="AG117" s="75"/>
      <c r="AH117" s="61"/>
      <c r="AL117" s="28"/>
    </row>
    <row r="118" spans="1:44" s="72" customFormat="1" x14ac:dyDescent="0.2">
      <c r="A118" s="282" t="s">
        <v>189</v>
      </c>
      <c r="B118" s="89" t="s">
        <v>193</v>
      </c>
      <c r="C118" s="28"/>
      <c r="D118" s="469"/>
      <c r="E118" s="469"/>
      <c r="F118" s="28"/>
      <c r="G118" s="28"/>
      <c r="H118" s="28"/>
      <c r="I118" s="28"/>
      <c r="J118" s="28"/>
      <c r="K118" s="28"/>
      <c r="L118" s="28"/>
      <c r="M118" s="63"/>
      <c r="N118" s="63"/>
      <c r="O118" s="63"/>
      <c r="P118" s="63"/>
      <c r="Q118" s="63"/>
      <c r="R118" s="63"/>
      <c r="S118" s="63"/>
      <c r="T118" s="63"/>
      <c r="U118" s="63"/>
      <c r="V118" s="63"/>
      <c r="W118" s="63"/>
      <c r="X118" s="63"/>
      <c r="Y118" s="63"/>
      <c r="Z118" s="63"/>
      <c r="AA118" s="63"/>
      <c r="AB118" s="63"/>
      <c r="AC118" s="63"/>
      <c r="AD118" s="63"/>
      <c r="AE118" s="63"/>
      <c r="AF118" s="63"/>
      <c r="AG118" s="63"/>
      <c r="AH118" s="61"/>
      <c r="AL118" s="28"/>
      <c r="AP118" s="61"/>
    </row>
    <row r="119" spans="1:44" s="72" customFormat="1" x14ac:dyDescent="0.2">
      <c r="A119" s="282" t="s">
        <v>190</v>
      </c>
      <c r="B119" s="89" t="s">
        <v>193</v>
      </c>
      <c r="C119" s="28"/>
      <c r="D119" s="469"/>
      <c r="E119" s="469"/>
      <c r="F119" s="28"/>
      <c r="G119" s="28"/>
      <c r="H119" s="28"/>
      <c r="I119" s="28"/>
      <c r="J119" s="28"/>
      <c r="K119" s="28"/>
      <c r="L119" s="28"/>
      <c r="M119" s="60"/>
      <c r="N119" s="60"/>
      <c r="O119" s="60"/>
      <c r="P119" s="60"/>
      <c r="Q119" s="60"/>
      <c r="R119" s="60"/>
      <c r="S119" s="60"/>
      <c r="T119" s="60"/>
      <c r="U119" s="60"/>
      <c r="V119" s="60"/>
      <c r="W119" s="60"/>
      <c r="X119" s="60"/>
      <c r="Y119" s="60"/>
      <c r="Z119" s="60"/>
      <c r="AA119" s="60"/>
      <c r="AB119" s="60"/>
      <c r="AC119" s="60"/>
      <c r="AD119" s="60"/>
      <c r="AE119" s="60"/>
      <c r="AF119" s="60"/>
      <c r="AG119" s="60"/>
      <c r="AH119" s="61"/>
      <c r="AL119" s="28"/>
    </row>
    <row r="120" spans="1:44" s="72" customFormat="1" x14ac:dyDescent="0.2">
      <c r="A120" s="282" t="s">
        <v>191</v>
      </c>
      <c r="B120" s="89" t="s">
        <v>193</v>
      </c>
      <c r="C120" s="28"/>
      <c r="D120" s="469"/>
      <c r="E120" s="469"/>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L120" s="28"/>
    </row>
    <row r="121" spans="1:44" s="72" customFormat="1" x14ac:dyDescent="0.2">
      <c r="A121" s="282" t="s">
        <v>192</v>
      </c>
      <c r="B121" s="89" t="s">
        <v>193</v>
      </c>
      <c r="C121" s="28"/>
      <c r="D121" s="469"/>
      <c r="E121" s="469"/>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L121" s="28"/>
    </row>
    <row r="122" spans="1:44" s="72" customFormat="1" x14ac:dyDescent="0.2">
      <c r="A122" s="282" t="s">
        <v>194</v>
      </c>
      <c r="B122" s="89" t="s">
        <v>193</v>
      </c>
      <c r="C122" s="28"/>
      <c r="D122" s="469"/>
      <c r="E122" s="469"/>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K122" s="61"/>
      <c r="AL122" s="62"/>
      <c r="AM122" s="62"/>
      <c r="AN122" s="62"/>
      <c r="AO122" s="62"/>
      <c r="AQ122" s="62"/>
      <c r="AR122" s="62"/>
    </row>
    <row r="123" spans="1:44" s="72" customFormat="1" x14ac:dyDescent="0.2">
      <c r="A123" s="282" t="s">
        <v>195</v>
      </c>
      <c r="B123" s="89" t="s">
        <v>193</v>
      </c>
      <c r="C123" s="28"/>
      <c r="D123" s="469"/>
      <c r="E123" s="469"/>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K123" s="61"/>
      <c r="AL123" s="62"/>
      <c r="AM123" s="62"/>
      <c r="AN123" s="62"/>
      <c r="AO123" s="62"/>
      <c r="AQ123" s="62"/>
      <c r="AR123" s="62"/>
    </row>
    <row r="124" spans="1:44" s="72" customFormat="1" x14ac:dyDescent="0.2">
      <c r="A124" s="282" t="s">
        <v>196</v>
      </c>
      <c r="B124" s="89" t="s">
        <v>193</v>
      </c>
      <c r="D124" s="469"/>
      <c r="E124" s="469"/>
      <c r="M124" s="60"/>
      <c r="N124" s="60"/>
      <c r="O124" s="60"/>
      <c r="P124" s="60"/>
      <c r="Q124" s="60"/>
      <c r="R124" s="60"/>
      <c r="S124" s="60"/>
      <c r="T124" s="60"/>
      <c r="U124" s="60"/>
      <c r="V124" s="60"/>
      <c r="W124" s="60"/>
      <c r="X124" s="60"/>
      <c r="Y124" s="60"/>
      <c r="Z124" s="60"/>
      <c r="AA124" s="60"/>
      <c r="AB124" s="60"/>
      <c r="AC124" s="60"/>
      <c r="AD124" s="60"/>
      <c r="AE124" s="60"/>
      <c r="AF124" s="60"/>
      <c r="AG124" s="60"/>
      <c r="AH124" s="61"/>
      <c r="AK124" s="61"/>
      <c r="AL124" s="62"/>
      <c r="AM124" s="62"/>
      <c r="AN124" s="62"/>
      <c r="AO124" s="62"/>
      <c r="AP124" s="62"/>
      <c r="AQ124" s="62"/>
      <c r="AR124" s="62"/>
    </row>
    <row r="125" spans="1:44" s="72" customFormat="1" x14ac:dyDescent="0.2">
      <c r="A125" s="282" t="s">
        <v>197</v>
      </c>
      <c r="B125" s="89" t="s">
        <v>193</v>
      </c>
      <c r="D125" s="469"/>
      <c r="E125" s="469"/>
      <c r="M125" s="75"/>
      <c r="N125" s="75"/>
      <c r="O125" s="75"/>
      <c r="P125" s="75"/>
      <c r="Q125" s="75"/>
      <c r="R125" s="75"/>
      <c r="S125" s="75"/>
      <c r="T125" s="75"/>
      <c r="U125" s="75"/>
      <c r="V125" s="75"/>
      <c r="W125" s="75"/>
      <c r="X125" s="75"/>
      <c r="Y125" s="75"/>
      <c r="Z125" s="75"/>
      <c r="AA125" s="75"/>
      <c r="AB125" s="75"/>
      <c r="AC125" s="75"/>
      <c r="AD125" s="75"/>
      <c r="AE125" s="75"/>
      <c r="AF125" s="75"/>
      <c r="AG125" s="75"/>
      <c r="AH125" s="61"/>
      <c r="AK125" s="61"/>
      <c r="AL125" s="62"/>
      <c r="AM125" s="62"/>
      <c r="AN125" s="62"/>
      <c r="AO125" s="62"/>
      <c r="AP125" s="62"/>
      <c r="AQ125" s="62"/>
      <c r="AR125" s="62"/>
    </row>
    <row r="126" spans="1:44" s="72" customFormat="1" x14ac:dyDescent="0.2">
      <c r="A126" s="282" t="s">
        <v>198</v>
      </c>
      <c r="B126" s="89" t="s">
        <v>193</v>
      </c>
      <c r="C126" s="28"/>
      <c r="D126" s="469"/>
      <c r="E126" s="469"/>
      <c r="F126" s="28"/>
      <c r="G126" s="28"/>
      <c r="H126" s="28"/>
      <c r="I126" s="28"/>
      <c r="J126" s="28"/>
      <c r="K126" s="28"/>
      <c r="L126" s="28"/>
      <c r="M126" s="60"/>
      <c r="N126" s="60"/>
      <c r="O126" s="60"/>
      <c r="P126" s="60"/>
      <c r="Q126" s="60"/>
      <c r="R126" s="60"/>
      <c r="S126" s="60"/>
      <c r="T126" s="60"/>
      <c r="U126" s="60"/>
      <c r="V126" s="60"/>
      <c r="W126" s="60"/>
      <c r="X126" s="60"/>
      <c r="Y126" s="60"/>
      <c r="Z126" s="60"/>
      <c r="AA126" s="60"/>
      <c r="AB126" s="60"/>
      <c r="AC126" s="60"/>
      <c r="AD126" s="60"/>
      <c r="AE126" s="60"/>
      <c r="AF126" s="60"/>
      <c r="AG126" s="60"/>
      <c r="AH126" s="61"/>
    </row>
    <row r="127" spans="1:44" s="72" customFormat="1" x14ac:dyDescent="0.2">
      <c r="A127" s="282" t="s">
        <v>199</v>
      </c>
      <c r="B127" s="89">
        <v>4</v>
      </c>
      <c r="C127" s="28"/>
      <c r="D127" s="469"/>
      <c r="E127" s="469"/>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row>
    <row r="128" spans="1:44" s="72" customFormat="1" x14ac:dyDescent="0.2">
      <c r="A128" s="282" t="s">
        <v>200</v>
      </c>
      <c r="B128" s="89">
        <v>4</v>
      </c>
      <c r="C128" s="28"/>
      <c r="D128" s="469"/>
      <c r="E128" s="469"/>
      <c r="F128" s="28"/>
      <c r="G128" s="28"/>
      <c r="H128" s="28"/>
      <c r="I128" s="28"/>
      <c r="J128" s="28"/>
      <c r="K128" s="28"/>
      <c r="L128" s="28"/>
      <c r="M128" s="60"/>
      <c r="N128" s="60"/>
      <c r="O128" s="60"/>
      <c r="P128" s="60"/>
      <c r="Q128" s="60"/>
      <c r="R128" s="60"/>
      <c r="S128" s="60"/>
      <c r="T128" s="60"/>
      <c r="U128" s="60"/>
      <c r="V128" s="60"/>
      <c r="W128" s="60"/>
      <c r="X128" s="60"/>
      <c r="Y128" s="60"/>
      <c r="Z128" s="60"/>
      <c r="AA128" s="60"/>
      <c r="AB128" s="60"/>
      <c r="AC128" s="60"/>
      <c r="AD128" s="60"/>
      <c r="AE128" s="60"/>
      <c r="AF128" s="60"/>
      <c r="AG128" s="60"/>
      <c r="AH128" s="61"/>
    </row>
    <row r="129" spans="1:37" s="62" customFormat="1" x14ac:dyDescent="0.2">
      <c r="A129" s="282" t="s">
        <v>201</v>
      </c>
      <c r="B129" s="89">
        <v>1</v>
      </c>
      <c r="C129" s="28"/>
      <c r="D129" s="469"/>
      <c r="E129" s="469"/>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row>
    <row r="130" spans="1:37" s="62" customFormat="1" x14ac:dyDescent="0.2">
      <c r="A130" s="282" t="s">
        <v>202</v>
      </c>
      <c r="B130" s="89">
        <v>4</v>
      </c>
      <c r="C130" s="28"/>
      <c r="D130" s="469"/>
      <c r="E130" s="469"/>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row>
    <row r="131" spans="1:37" s="62" customFormat="1" x14ac:dyDescent="0.2">
      <c r="A131" s="282" t="s">
        <v>203</v>
      </c>
      <c r="B131" s="89">
        <v>4</v>
      </c>
      <c r="C131" s="61"/>
      <c r="D131" s="469"/>
      <c r="E131" s="469"/>
      <c r="F131" s="61"/>
      <c r="G131" s="61"/>
      <c r="H131" s="61"/>
      <c r="I131" s="61"/>
      <c r="J131" s="61"/>
      <c r="K131" s="61"/>
      <c r="L131" s="61"/>
      <c r="M131" s="28"/>
      <c r="N131" s="28"/>
      <c r="O131" s="28"/>
      <c r="P131" s="28"/>
      <c r="Q131" s="28"/>
      <c r="R131" s="28"/>
      <c r="S131" s="28"/>
      <c r="T131" s="28"/>
      <c r="U131" s="28"/>
      <c r="V131" s="28"/>
      <c r="W131" s="28"/>
      <c r="X131" s="28"/>
      <c r="Y131" s="28"/>
      <c r="Z131" s="28"/>
      <c r="AA131" s="28"/>
      <c r="AB131" s="28"/>
      <c r="AC131" s="28"/>
      <c r="AD131" s="28"/>
      <c r="AE131" s="28"/>
      <c r="AF131" s="28"/>
      <c r="AG131" s="28"/>
      <c r="AH131" s="28"/>
    </row>
    <row r="132" spans="1:37" s="62" customFormat="1" x14ac:dyDescent="0.2">
      <c r="A132" s="282" t="s">
        <v>204</v>
      </c>
      <c r="B132" s="89" t="s">
        <v>193</v>
      </c>
      <c r="C132" s="61"/>
      <c r="D132" s="469"/>
      <c r="E132" s="469"/>
      <c r="F132" s="61"/>
      <c r="G132" s="61"/>
      <c r="H132" s="61"/>
      <c r="I132" s="61"/>
      <c r="J132" s="61"/>
      <c r="K132" s="61"/>
      <c r="L132" s="61"/>
      <c r="M132" s="28"/>
      <c r="N132" s="28"/>
      <c r="O132" s="28"/>
      <c r="P132" s="28"/>
      <c r="Q132" s="28"/>
      <c r="R132" s="28"/>
      <c r="S132" s="28"/>
      <c r="T132" s="28"/>
      <c r="U132" s="28"/>
      <c r="V132" s="28"/>
      <c r="W132" s="28"/>
      <c r="X132" s="28"/>
      <c r="Y132" s="28"/>
      <c r="Z132" s="28"/>
      <c r="AA132" s="28"/>
      <c r="AB132" s="28"/>
      <c r="AC132" s="28"/>
      <c r="AD132" s="28"/>
      <c r="AE132" s="28"/>
      <c r="AF132" s="28"/>
      <c r="AG132" s="28"/>
      <c r="AH132" s="28"/>
    </row>
    <row r="133" spans="1:37" s="62" customFormat="1" x14ac:dyDescent="0.2">
      <c r="A133" s="282" t="s">
        <v>205</v>
      </c>
      <c r="B133" s="89" t="s">
        <v>193</v>
      </c>
      <c r="C133" s="61"/>
      <c r="D133" s="469"/>
      <c r="E133" s="469"/>
      <c r="F133" s="61"/>
      <c r="G133" s="61"/>
      <c r="H133" s="61"/>
      <c r="I133" s="61"/>
      <c r="J133" s="61"/>
      <c r="K133" s="61"/>
      <c r="L133" s="61"/>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61"/>
    </row>
    <row r="134" spans="1:37" s="62" customFormat="1" x14ac:dyDescent="0.2">
      <c r="A134" s="282" t="s">
        <v>206</v>
      </c>
      <c r="B134" s="89" t="s">
        <v>193</v>
      </c>
      <c r="C134" s="61"/>
      <c r="D134" s="469"/>
      <c r="E134" s="469"/>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row>
    <row r="135" spans="1:37" s="62" customFormat="1" x14ac:dyDescent="0.2">
      <c r="A135" s="282" t="s">
        <v>207</v>
      </c>
      <c r="B135" s="89" t="s">
        <v>193</v>
      </c>
      <c r="D135" s="469"/>
      <c r="E135" s="469"/>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row>
    <row r="136" spans="1:37" s="62" customFormat="1" x14ac:dyDescent="0.2">
      <c r="A136" s="282" t="s">
        <v>208</v>
      </c>
      <c r="B136" s="89" t="s">
        <v>193</v>
      </c>
      <c r="D136" s="469"/>
      <c r="E136" s="469"/>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row>
    <row r="137" spans="1:37" s="62" customFormat="1" x14ac:dyDescent="0.2">
      <c r="A137" s="282" t="s">
        <v>209</v>
      </c>
      <c r="B137" s="89" t="s">
        <v>193</v>
      </c>
      <c r="C137" s="61"/>
      <c r="D137" s="469"/>
      <c r="E137" s="469"/>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row>
    <row r="138" spans="1:37" s="62" customFormat="1" x14ac:dyDescent="0.2">
      <c r="A138" s="282" t="s">
        <v>210</v>
      </c>
      <c r="B138" s="89">
        <v>4</v>
      </c>
      <c r="C138" s="61"/>
      <c r="D138" s="469"/>
      <c r="E138" s="469"/>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row>
    <row r="139" spans="1:37" s="62" customFormat="1" x14ac:dyDescent="0.2">
      <c r="A139" s="282" t="s">
        <v>211</v>
      </c>
      <c r="B139" s="89" t="s">
        <v>193</v>
      </c>
      <c r="C139" s="61"/>
      <c r="D139" s="469"/>
      <c r="E139" s="469"/>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row>
    <row r="140" spans="1:37" s="62" customFormat="1" x14ac:dyDescent="0.2">
      <c r="A140" s="282" t="s">
        <v>212</v>
      </c>
      <c r="B140" s="89" t="s">
        <v>193</v>
      </c>
      <c r="C140" s="61"/>
      <c r="D140" s="469"/>
      <c r="E140" s="469"/>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row>
    <row r="141" spans="1:37" s="62" customFormat="1" ht="12.75" thickBot="1" x14ac:dyDescent="0.25">
      <c r="A141" s="436" t="s">
        <v>213</v>
      </c>
      <c r="B141" s="93">
        <v>2</v>
      </c>
      <c r="C141" s="61"/>
      <c r="D141" s="469"/>
      <c r="E141" s="469"/>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row>
    <row r="142" spans="1:37" s="62" customFormat="1" ht="12.75" thickBot="1" x14ac:dyDescent="0.25">
      <c r="A142" s="121"/>
      <c r="B142" s="122"/>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row>
    <row r="143" spans="1:37" s="62" customFormat="1" ht="13.5" thickBot="1" x14ac:dyDescent="0.25">
      <c r="A143" s="738" t="s">
        <v>214</v>
      </c>
      <c r="B143" s="739"/>
      <c r="C143" s="105"/>
      <c r="D143" s="105"/>
      <c r="E143" s="105"/>
      <c r="F143" s="105"/>
      <c r="G143" s="105"/>
      <c r="H143" s="105"/>
      <c r="I143" s="105"/>
      <c r="J143" s="105"/>
      <c r="K143" s="105"/>
      <c r="L143" s="105"/>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K143" s="61"/>
    </row>
    <row r="144" spans="1:37" s="62" customFormat="1" x14ac:dyDescent="0.2">
      <c r="A144" s="126" t="s">
        <v>215</v>
      </c>
      <c r="B144" s="127" t="s">
        <v>216</v>
      </c>
      <c r="C144" s="127" t="s">
        <v>216</v>
      </c>
      <c r="D144" s="127" t="s">
        <v>216</v>
      </c>
      <c r="E144" s="127" t="s">
        <v>216</v>
      </c>
      <c r="F144" s="127" t="s">
        <v>216</v>
      </c>
      <c r="G144" s="127"/>
      <c r="H144" s="127"/>
      <c r="I144" s="127"/>
      <c r="J144" s="127"/>
      <c r="K144" s="127"/>
      <c r="L144" s="127"/>
      <c r="M144" s="130" t="s">
        <v>216</v>
      </c>
      <c r="N144" s="123"/>
      <c r="O144" s="123"/>
      <c r="P144" s="123"/>
      <c r="Q144" s="123"/>
      <c r="R144" s="123"/>
      <c r="S144" s="123"/>
      <c r="T144" s="123"/>
      <c r="U144" s="123"/>
      <c r="V144" s="123"/>
      <c r="W144" s="123"/>
      <c r="X144" s="123"/>
      <c r="Y144" s="123"/>
      <c r="Z144" s="123"/>
      <c r="AA144" s="123"/>
      <c r="AB144" s="123"/>
      <c r="AC144" s="123"/>
      <c r="AD144" s="123"/>
      <c r="AE144" s="123"/>
      <c r="AF144" s="123"/>
      <c r="AG144" s="123"/>
      <c r="AH144" s="61"/>
      <c r="AI144" s="61"/>
      <c r="AK144" s="61"/>
    </row>
    <row r="145" spans="1:37" s="62" customFormat="1" ht="12.75" thickBot="1" x14ac:dyDescent="0.25">
      <c r="A145" s="128" t="s">
        <v>217</v>
      </c>
      <c r="B145" s="129"/>
      <c r="C145" s="129"/>
      <c r="D145" s="129"/>
      <c r="E145" s="129"/>
      <c r="F145" s="129"/>
      <c r="G145" s="129" t="s">
        <v>216</v>
      </c>
      <c r="H145" s="129" t="s">
        <v>216</v>
      </c>
      <c r="I145" s="129" t="s">
        <v>216</v>
      </c>
      <c r="J145" s="129" t="s">
        <v>216</v>
      </c>
      <c r="K145" s="129" t="s">
        <v>216</v>
      </c>
      <c r="L145" s="129" t="s">
        <v>216</v>
      </c>
      <c r="M145" s="131"/>
      <c r="N145" s="123"/>
      <c r="O145" s="123"/>
      <c r="P145" s="123"/>
      <c r="Q145" s="123"/>
      <c r="R145" s="123"/>
      <c r="S145" s="123"/>
      <c r="T145" s="123"/>
      <c r="U145" s="123"/>
      <c r="V145" s="123"/>
      <c r="W145" s="123"/>
      <c r="X145" s="123"/>
      <c r="Y145" s="123"/>
      <c r="Z145" s="123"/>
      <c r="AA145" s="123"/>
      <c r="AB145" s="123"/>
      <c r="AC145" s="123"/>
      <c r="AD145" s="123"/>
      <c r="AE145" s="123"/>
      <c r="AF145" s="123"/>
      <c r="AG145" s="123"/>
      <c r="AH145" s="61"/>
      <c r="AI145" s="61"/>
      <c r="AJ145" s="61"/>
      <c r="AK145" s="61"/>
    </row>
    <row r="146" spans="1:37" s="62" customFormat="1" ht="12.75" thickBot="1" x14ac:dyDescent="0.25">
      <c r="A146" s="121"/>
      <c r="B146" s="123"/>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row>
    <row r="147" spans="1:37" s="62" customFormat="1" ht="13.5" thickBot="1" x14ac:dyDescent="0.25">
      <c r="A147" s="551" t="s">
        <v>253</v>
      </c>
      <c r="B147" s="740" t="s">
        <v>220</v>
      </c>
      <c r="C147" s="741"/>
      <c r="D147" s="742" t="s">
        <v>221</v>
      </c>
      <c r="E147" s="743"/>
      <c r="F147" s="744" t="s">
        <v>222</v>
      </c>
      <c r="G147" s="745"/>
      <c r="H147" s="61"/>
      <c r="I147" s="194" t="s">
        <v>223</v>
      </c>
    </row>
    <row r="148" spans="1:37" s="61" customFormat="1" ht="13.5" thickBot="1" x14ac:dyDescent="0.25">
      <c r="A148" s="553" t="s">
        <v>224</v>
      </c>
      <c r="B148" s="297"/>
      <c r="C148" s="297"/>
      <c r="D148" s="297"/>
      <c r="E148" s="297"/>
      <c r="F148" s="297"/>
      <c r="G148" s="298"/>
      <c r="I148" s="194" t="s">
        <v>62</v>
      </c>
    </row>
    <row r="149" spans="1:37" x14ac:dyDescent="0.2">
      <c r="A149" s="555" t="s">
        <v>225</v>
      </c>
      <c r="B149" s="233">
        <v>1</v>
      </c>
      <c r="C149" s="233"/>
      <c r="D149" s="234"/>
      <c r="E149" s="234"/>
      <c r="F149" s="235"/>
      <c r="G149" s="236">
        <v>0</v>
      </c>
    </row>
    <row r="150" spans="1:37" ht="12.75" thickBot="1" x14ac:dyDescent="0.25">
      <c r="A150" s="555" t="s">
        <v>226</v>
      </c>
      <c r="B150" s="228">
        <v>1</v>
      </c>
      <c r="C150" s="228"/>
      <c r="D150" s="230"/>
      <c r="E150" s="230"/>
      <c r="F150" s="231"/>
      <c r="G150" s="232">
        <v>0</v>
      </c>
    </row>
    <row r="151" spans="1:37" ht="12.75" thickBot="1" x14ac:dyDescent="0.25">
      <c r="A151" s="553" t="str">
        <f t="shared" ref="A151:A172" si="64">A38</f>
        <v>Integrated Mission Systems</v>
      </c>
      <c r="B151" s="297"/>
      <c r="C151" s="297"/>
      <c r="D151" s="297"/>
      <c r="E151" s="297"/>
      <c r="F151" s="297"/>
      <c r="G151" s="298"/>
    </row>
    <row r="152" spans="1:37" x14ac:dyDescent="0.2">
      <c r="A152" s="556" t="str">
        <f t="shared" si="64"/>
        <v>Ready MH-60S Cargo Transport Mission Systems (C)</v>
      </c>
      <c r="B152" s="233">
        <f>$B$150</f>
        <v>1</v>
      </c>
      <c r="C152" s="233"/>
      <c r="D152" s="299"/>
      <c r="E152" s="299"/>
      <c r="F152" s="300"/>
      <c r="G152" s="301">
        <v>0</v>
      </c>
    </row>
    <row r="153" spans="1:37" x14ac:dyDescent="0.2">
      <c r="A153" s="555" t="str">
        <f t="shared" si="64"/>
        <v>Ready MH-60S Airborne Mine Counter Measures (AMCM) Mission Systems (D)</v>
      </c>
      <c r="B153" s="224" t="s">
        <v>227</v>
      </c>
      <c r="C153" s="224"/>
      <c r="D153" s="225"/>
      <c r="E153" s="225"/>
      <c r="F153" s="226"/>
      <c r="G153" s="227"/>
    </row>
    <row r="154" spans="1:37" x14ac:dyDescent="0.2">
      <c r="A154" s="555" t="str">
        <f t="shared" si="64"/>
        <v>Ready MH-60S Active/Passive Countermeasures Mission Systems (E)</v>
      </c>
      <c r="B154" s="224">
        <f>$B$150</f>
        <v>1</v>
      </c>
      <c r="C154" s="224"/>
      <c r="D154" s="225"/>
      <c r="E154" s="225"/>
      <c r="F154" s="226"/>
      <c r="G154" s="232">
        <v>0</v>
      </c>
    </row>
    <row r="155" spans="1:37" x14ac:dyDescent="0.2">
      <c r="A155" s="555" t="str">
        <f t="shared" si="64"/>
        <v>Ready MH-60S CSAR, SUW, and Spec Warfare Mission Systems (F)</v>
      </c>
      <c r="B155" s="224">
        <f>$B$150</f>
        <v>1</v>
      </c>
      <c r="C155" s="224"/>
      <c r="D155" s="225"/>
      <c r="E155" s="225"/>
      <c r="F155" s="226"/>
      <c r="G155" s="232">
        <v>0</v>
      </c>
    </row>
    <row r="156" spans="1:37" x14ac:dyDescent="0.2">
      <c r="A156" s="555" t="str">
        <f t="shared" si="64"/>
        <v>Ready MH-60S Personnel Transport Mission Systems (G)</v>
      </c>
      <c r="B156" s="224">
        <f>$B$150</f>
        <v>1</v>
      </c>
      <c r="C156" s="224"/>
      <c r="D156" s="225"/>
      <c r="E156" s="225"/>
      <c r="F156" s="226"/>
      <c r="G156" s="232">
        <v>0</v>
      </c>
    </row>
    <row r="157" spans="1:37" x14ac:dyDescent="0.2">
      <c r="A157" s="555" t="str">
        <f t="shared" si="64"/>
        <v>Ready MH-60S SAR\MEDIVAC Mission Systems (H)</v>
      </c>
      <c r="B157" s="224">
        <f>$B$150</f>
        <v>1</v>
      </c>
      <c r="C157" s="224"/>
      <c r="D157" s="225"/>
      <c r="E157" s="225"/>
      <c r="F157" s="226"/>
      <c r="G157" s="232">
        <v>0</v>
      </c>
    </row>
    <row r="158" spans="1:37" x14ac:dyDescent="0.2">
      <c r="A158" s="555" t="str">
        <f t="shared" si="64"/>
        <v>Ready MH-60S Mission Support Systems (I)</v>
      </c>
      <c r="B158" s="224" t="s">
        <v>227</v>
      </c>
      <c r="C158" s="224"/>
      <c r="D158" s="225"/>
      <c r="E158" s="225"/>
      <c r="F158" s="226"/>
      <c r="G158" s="232"/>
    </row>
    <row r="159" spans="1:37" x14ac:dyDescent="0.2">
      <c r="A159" s="555" t="str">
        <f t="shared" si="64"/>
        <v>Ready MH-60S Fixed Forward Firing Systems (J)</v>
      </c>
      <c r="B159" s="224">
        <f>$B$150</f>
        <v>1</v>
      </c>
      <c r="C159" s="224"/>
      <c r="D159" s="225"/>
      <c r="E159" s="225"/>
      <c r="F159" s="226"/>
      <c r="G159" s="227">
        <v>0</v>
      </c>
    </row>
    <row r="160" spans="1:37" x14ac:dyDescent="0.2">
      <c r="A160" s="555" t="str">
        <f t="shared" si="64"/>
        <v>Ready MH-60S Shipboard Mission Systems (K)</v>
      </c>
      <c r="B160" s="224">
        <f>$B$150</f>
        <v>1</v>
      </c>
      <c r="C160" s="224"/>
      <c r="D160" s="225"/>
      <c r="E160" s="225"/>
      <c r="F160" s="226"/>
      <c r="G160" s="227">
        <v>0</v>
      </c>
    </row>
    <row r="161" spans="1:7" ht="12.75" thickBot="1" x14ac:dyDescent="0.25">
      <c r="A161" s="555" t="str">
        <f t="shared" si="64"/>
        <v>Ready MH-60S IMC Flight Mission Systems (L)</v>
      </c>
      <c r="B161" s="224">
        <f>$B$150</f>
        <v>1</v>
      </c>
      <c r="C161" s="224"/>
      <c r="D161" s="225"/>
      <c r="E161" s="225"/>
      <c r="F161" s="226"/>
      <c r="G161" s="227">
        <v>0</v>
      </c>
    </row>
    <row r="162" spans="1:7" ht="12.75" thickBot="1" x14ac:dyDescent="0.25">
      <c r="A162" s="553" t="str">
        <f t="shared" si="64"/>
        <v>Non-Integrated Mission Systems</v>
      </c>
      <c r="B162" s="297"/>
      <c r="C162" s="297"/>
      <c r="D162" s="297"/>
      <c r="E162" s="297"/>
      <c r="F162" s="297"/>
      <c r="G162" s="298"/>
    </row>
    <row r="163" spans="1:7" x14ac:dyDescent="0.2">
      <c r="A163" s="557" t="str">
        <f t="shared" si="64"/>
        <v>Assigned M-299 Sets</v>
      </c>
      <c r="B163" s="233" t="s">
        <v>227</v>
      </c>
      <c r="C163" s="224"/>
      <c r="D163" s="234"/>
      <c r="E163" s="234"/>
      <c r="F163" s="235"/>
      <c r="G163" s="302"/>
    </row>
    <row r="164" spans="1:7" x14ac:dyDescent="0.2">
      <c r="A164" s="558" t="str">
        <f t="shared" si="64"/>
        <v>Ready M-299 Sets</v>
      </c>
      <c r="B164" s="224" t="s">
        <v>227</v>
      </c>
      <c r="C164" s="224"/>
      <c r="D164" s="225"/>
      <c r="E164" s="225"/>
      <c r="F164" s="226"/>
      <c r="G164" s="295"/>
    </row>
    <row r="165" spans="1:7" x14ac:dyDescent="0.2">
      <c r="A165" s="558" t="str">
        <f t="shared" si="64"/>
        <v>Assigned 20-mm Sets</v>
      </c>
      <c r="B165" s="224" t="s">
        <v>227</v>
      </c>
      <c r="C165" s="224"/>
      <c r="D165" s="225"/>
      <c r="E165" s="225"/>
      <c r="F165" s="226"/>
      <c r="G165" s="295"/>
    </row>
    <row r="166" spans="1:7" x14ac:dyDescent="0.2">
      <c r="A166" s="558" t="str">
        <f t="shared" si="64"/>
        <v>Ready 20-mm Sets</v>
      </c>
      <c r="B166" s="224" t="s">
        <v>227</v>
      </c>
      <c r="C166" s="224"/>
      <c r="D166" s="225"/>
      <c r="E166" s="225"/>
      <c r="F166" s="226"/>
      <c r="G166" s="295"/>
    </row>
    <row r="167" spans="1:7" x14ac:dyDescent="0.2">
      <c r="A167" s="558" t="str">
        <f t="shared" si="64"/>
        <v>Assigned GAU-21 Sets</v>
      </c>
      <c r="B167" s="233" t="s">
        <v>227</v>
      </c>
      <c r="C167" s="224"/>
      <c r="D167" s="234"/>
      <c r="E167" s="234"/>
      <c r="F167" s="235"/>
      <c r="G167" s="302"/>
    </row>
    <row r="168" spans="1:7" x14ac:dyDescent="0.2">
      <c r="A168" s="558" t="str">
        <f t="shared" si="64"/>
        <v>Ready GAU-21 Sets</v>
      </c>
      <c r="B168" s="224" t="s">
        <v>227</v>
      </c>
      <c r="C168" s="224"/>
      <c r="D168" s="225"/>
      <c r="E168" s="225"/>
      <c r="F168" s="226"/>
      <c r="G168" s="295"/>
    </row>
    <row r="169" spans="1:7" x14ac:dyDescent="0.2">
      <c r="A169" s="558" t="str">
        <f t="shared" si="64"/>
        <v>Assigned M-240 Sets</v>
      </c>
      <c r="B169" s="233">
        <v>3</v>
      </c>
      <c r="C169" s="224"/>
      <c r="D169" s="234"/>
      <c r="E169" s="234"/>
      <c r="F169" s="235">
        <v>1</v>
      </c>
      <c r="G169" s="302">
        <v>0</v>
      </c>
    </row>
    <row r="170" spans="1:7" x14ac:dyDescent="0.2">
      <c r="A170" s="558" t="str">
        <f t="shared" si="64"/>
        <v>Ready M-240 Sets</v>
      </c>
      <c r="B170" s="224">
        <v>3</v>
      </c>
      <c r="C170" s="224">
        <v>2</v>
      </c>
      <c r="D170" s="225"/>
      <c r="E170" s="225"/>
      <c r="F170" s="226">
        <v>1</v>
      </c>
      <c r="G170" s="295">
        <v>0</v>
      </c>
    </row>
    <row r="171" spans="1:7" x14ac:dyDescent="0.2">
      <c r="A171" s="558" t="str">
        <f t="shared" si="64"/>
        <v>Assigned Full Motion Video Systems</v>
      </c>
      <c r="B171" s="224" t="s">
        <v>227</v>
      </c>
      <c r="C171" s="224"/>
      <c r="D171" s="225"/>
      <c r="E171" s="225"/>
      <c r="F171" s="226"/>
      <c r="G171" s="295"/>
    </row>
    <row r="172" spans="1:7" ht="12.75" thickBot="1" x14ac:dyDescent="0.25">
      <c r="A172" s="559" t="str">
        <f t="shared" si="64"/>
        <v>Ready Full Motion Video Systems</v>
      </c>
      <c r="B172" s="237" t="s">
        <v>227</v>
      </c>
      <c r="C172" s="237"/>
      <c r="D172" s="238"/>
      <c r="E172" s="238"/>
      <c r="F172" s="239"/>
      <c r="G172" s="296"/>
    </row>
    <row r="175" spans="1:7" x14ac:dyDescent="0.2">
      <c r="A175" s="631" t="s">
        <v>228</v>
      </c>
      <c r="B175" s="631" t="s">
        <v>256</v>
      </c>
    </row>
    <row r="176" spans="1:7" x14ac:dyDescent="0.2">
      <c r="A176" s="632" t="s">
        <v>230</v>
      </c>
      <c r="B176" s="670">
        <f>HLOOKUP($B$175,'MH-60S Mission System Summary'!$B$1:$J$12,2,FALSE)</f>
        <v>0.64517666563050469</v>
      </c>
    </row>
    <row r="177" spans="1:2" x14ac:dyDescent="0.2">
      <c r="A177" s="632" t="str">
        <f t="shared" ref="A177:A186" si="65">A39</f>
        <v>Ready MH-60S Cargo Transport Mission Systems (C)</v>
      </c>
      <c r="B177" s="670">
        <f>HLOOKUP($B$175,'MH-60S Mission System Summary'!$B$1:$J$12,3,FALSE)</f>
        <v>0.36792042275411885</v>
      </c>
    </row>
    <row r="178" spans="1:2" x14ac:dyDescent="0.2">
      <c r="A178" s="632" t="str">
        <f t="shared" si="65"/>
        <v>Ready MH-60S Airborne Mine Counter Measures (AMCM) Mission Systems (D)</v>
      </c>
      <c r="B178" s="670">
        <f>HLOOKUP($B$175,'MH-60S Mission System Summary'!$B$1:$J$12,4,FALSE)</f>
        <v>0</v>
      </c>
    </row>
    <row r="179" spans="1:2" x14ac:dyDescent="0.2">
      <c r="A179" s="632" t="str">
        <f t="shared" si="65"/>
        <v>Ready MH-60S Active/Passive Countermeasures Mission Systems (E)</v>
      </c>
      <c r="B179" s="670">
        <f>HLOOKUP($B$175,'MH-60S Mission System Summary'!$B$1:$J$12,5,FALSE)</f>
        <v>0.56760957413739521</v>
      </c>
    </row>
    <row r="180" spans="1:2" x14ac:dyDescent="0.2">
      <c r="A180" s="632" t="str">
        <f t="shared" si="65"/>
        <v>Ready MH-60S CSAR, SUW, and Spec Warfare Mission Systems (F)</v>
      </c>
      <c r="B180" s="670">
        <f>HLOOKUP($B$175,'MH-60S Mission System Summary'!$B$1:$J$12,6,FALSE)</f>
        <v>0.56760957413739521</v>
      </c>
    </row>
    <row r="181" spans="1:2" x14ac:dyDescent="0.2">
      <c r="A181" s="632" t="str">
        <f t="shared" si="65"/>
        <v>Ready MH-60S Personnel Transport Mission Systems (G)</v>
      </c>
      <c r="B181" s="670">
        <f>HLOOKUP($B$175,'MH-60S Mission System Summary'!$B$1:$J$12,7,FALSE)</f>
        <v>0.24213552999689159</v>
      </c>
    </row>
    <row r="182" spans="1:2" x14ac:dyDescent="0.2">
      <c r="A182" s="632" t="str">
        <f t="shared" si="65"/>
        <v>Ready MH-60S SAR\MEDIVAC Mission Systems (H)</v>
      </c>
      <c r="B182" s="670">
        <f>HLOOKUP($B$175,'MH-60S Mission System Summary'!$B$1:$J$12,8,FALSE)</f>
        <v>0.24213552999689159</v>
      </c>
    </row>
    <row r="183" spans="1:2" x14ac:dyDescent="0.2">
      <c r="A183" s="632" t="str">
        <f t="shared" si="65"/>
        <v>Ready MH-60S Mission Support Systems (I)</v>
      </c>
      <c r="B183" s="670">
        <f>HLOOKUP($B$175,'MH-60S Mission System Summary'!$B$1:$J$12,9,FALSE)</f>
        <v>0</v>
      </c>
    </row>
    <row r="184" spans="1:2" x14ac:dyDescent="0.2">
      <c r="A184" s="632" t="str">
        <f t="shared" si="65"/>
        <v>Ready MH-60S Fixed Forward Firing Systems (J)</v>
      </c>
      <c r="B184" s="670">
        <f>HLOOKUP($B$175,'MH-60S Mission System Summary'!$B$1:$J$12,10,FALSE)</f>
        <v>0.56760957413739521</v>
      </c>
    </row>
    <row r="185" spans="1:2" x14ac:dyDescent="0.2">
      <c r="A185" s="632" t="str">
        <f t="shared" si="65"/>
        <v>Ready MH-60S Shipboard Mission Systems (K)</v>
      </c>
      <c r="B185" s="670">
        <f>HLOOKUP($B$175,'MH-60S Mission System Summary'!$B$1:$J$12,11,FALSE)</f>
        <v>0.29608330742928207</v>
      </c>
    </row>
    <row r="186" spans="1:2" x14ac:dyDescent="0.2">
      <c r="A186" s="632" t="str">
        <f t="shared" si="65"/>
        <v>Ready MH-60S IMC Flight Mission Systems (L)</v>
      </c>
      <c r="B186" s="670">
        <f>HLOOKUP($B$175,'MH-60S Mission System Summary'!$B$1:$J$12,12,FALSE)</f>
        <v>1</v>
      </c>
    </row>
  </sheetData>
  <mergeCells count="9">
    <mergeCell ref="B147:C147"/>
    <mergeCell ref="F147:G147"/>
    <mergeCell ref="M1:P1"/>
    <mergeCell ref="G16:L16"/>
    <mergeCell ref="A98:M98"/>
    <mergeCell ref="A108:B108"/>
    <mergeCell ref="A109:B109"/>
    <mergeCell ref="A143:B143"/>
    <mergeCell ref="D147:E147"/>
  </mergeCells>
  <conditionalFormatting sqref="C149:C150 C164:C166">
    <cfRule type="cellIs" dxfId="343" priority="80" operator="equal">
      <formula>B149</formula>
    </cfRule>
  </conditionalFormatting>
  <conditionalFormatting sqref="D149:E150 D163:E166">
    <cfRule type="cellIs" dxfId="342" priority="79" operator="equal">
      <formula>C149</formula>
    </cfRule>
  </conditionalFormatting>
  <conditionalFormatting sqref="E149">
    <cfRule type="cellIs" dxfId="341" priority="78" operator="equal">
      <formula>D149</formula>
    </cfRule>
  </conditionalFormatting>
  <conditionalFormatting sqref="F149">
    <cfRule type="cellIs" dxfId="340" priority="77" operator="equal">
      <formula>E149</formula>
    </cfRule>
  </conditionalFormatting>
  <conditionalFormatting sqref="F150 F163:F164">
    <cfRule type="cellIs" dxfId="339" priority="75" operator="equal">
      <formula>G150</formula>
    </cfRule>
    <cfRule type="cellIs" dxfId="338" priority="76" operator="equal">
      <formula>E150</formula>
    </cfRule>
  </conditionalFormatting>
  <conditionalFormatting sqref="F165:F166">
    <cfRule type="cellIs" dxfId="337" priority="73" operator="equal">
      <formula>G165</formula>
    </cfRule>
    <cfRule type="cellIs" dxfId="336" priority="74" operator="equal">
      <formula>E165</formula>
    </cfRule>
  </conditionalFormatting>
  <conditionalFormatting sqref="F172">
    <cfRule type="cellIs" dxfId="335" priority="71" operator="equal">
      <formula>G134</formula>
    </cfRule>
    <cfRule type="cellIs" dxfId="334" priority="72" operator="equal">
      <formula>E134</formula>
    </cfRule>
  </conditionalFormatting>
  <conditionalFormatting sqref="F171">
    <cfRule type="cellIs" dxfId="333" priority="81" operator="equal">
      <formula>#REF!</formula>
    </cfRule>
    <cfRule type="cellIs" dxfId="332" priority="82" operator="equal">
      <formula>E132</formula>
    </cfRule>
  </conditionalFormatting>
  <conditionalFormatting sqref="D171:E172">
    <cfRule type="cellIs" dxfId="331" priority="83" operator="equal">
      <formula>C132</formula>
    </cfRule>
  </conditionalFormatting>
  <conditionalFormatting sqref="C171:C172">
    <cfRule type="cellIs" dxfId="330" priority="84" operator="equal">
      <formula>B132</formula>
    </cfRule>
  </conditionalFormatting>
  <conditionalFormatting sqref="C163">
    <cfRule type="cellIs" dxfId="329" priority="46" operator="equal">
      <formula>B163</formula>
    </cfRule>
  </conditionalFormatting>
  <conditionalFormatting sqref="C168">
    <cfRule type="cellIs" dxfId="328" priority="45" operator="equal">
      <formula>B168</formula>
    </cfRule>
  </conditionalFormatting>
  <conditionalFormatting sqref="D167:E168">
    <cfRule type="cellIs" dxfId="327" priority="44" operator="equal">
      <formula>C167</formula>
    </cfRule>
  </conditionalFormatting>
  <conditionalFormatting sqref="F167:F168">
    <cfRule type="cellIs" dxfId="326" priority="42" operator="equal">
      <formula>G167</formula>
    </cfRule>
    <cfRule type="cellIs" dxfId="325" priority="43" operator="equal">
      <formula>E167</formula>
    </cfRule>
  </conditionalFormatting>
  <conditionalFormatting sqref="C167">
    <cfRule type="cellIs" dxfId="324" priority="41" operator="equal">
      <formula>B167</formula>
    </cfRule>
  </conditionalFormatting>
  <conditionalFormatting sqref="C170">
    <cfRule type="cellIs" dxfId="323" priority="40" operator="equal">
      <formula>B170</formula>
    </cfRule>
  </conditionalFormatting>
  <conditionalFormatting sqref="D169:E170">
    <cfRule type="cellIs" dxfId="322" priority="39" operator="equal">
      <formula>C169</formula>
    </cfRule>
  </conditionalFormatting>
  <conditionalFormatting sqref="F169:F170">
    <cfRule type="cellIs" dxfId="321" priority="37" operator="equal">
      <formula>G169</formula>
    </cfRule>
    <cfRule type="cellIs" dxfId="320" priority="38" operator="equal">
      <formula>E169</formula>
    </cfRule>
  </conditionalFormatting>
  <conditionalFormatting sqref="C169">
    <cfRule type="cellIs" dxfId="319" priority="36" operator="equal">
      <formula>B169</formula>
    </cfRule>
  </conditionalFormatting>
  <conditionalFormatting sqref="C152:C153 C158 C161">
    <cfRule type="cellIs" dxfId="318" priority="35" operator="equal">
      <formula>B152</formula>
    </cfRule>
  </conditionalFormatting>
  <conditionalFormatting sqref="D152:E153 D158:E158 D161:E161">
    <cfRule type="cellIs" dxfId="317" priority="34" operator="equal">
      <formula>C152</formula>
    </cfRule>
  </conditionalFormatting>
  <conditionalFormatting sqref="F152:F153 F158 F161">
    <cfRule type="cellIs" dxfId="316" priority="32" operator="equal">
      <formula>G152</formula>
    </cfRule>
    <cfRule type="cellIs" dxfId="315" priority="33" operator="equal">
      <formula>E152</formula>
    </cfRule>
  </conditionalFormatting>
  <conditionalFormatting sqref="C154">
    <cfRule type="cellIs" dxfId="314" priority="31" operator="equal">
      <formula>B154</formula>
    </cfRule>
  </conditionalFormatting>
  <conditionalFormatting sqref="D154:E154">
    <cfRule type="cellIs" dxfId="313" priority="30" operator="equal">
      <formula>C154</formula>
    </cfRule>
  </conditionalFormatting>
  <conditionalFormatting sqref="F154">
    <cfRule type="cellIs" dxfId="312" priority="28" operator="equal">
      <formula>G154</formula>
    </cfRule>
    <cfRule type="cellIs" dxfId="311" priority="29" operator="equal">
      <formula>E154</formula>
    </cfRule>
  </conditionalFormatting>
  <conditionalFormatting sqref="C155">
    <cfRule type="cellIs" dxfId="310" priority="27" operator="equal">
      <formula>B155</formula>
    </cfRule>
  </conditionalFormatting>
  <conditionalFormatting sqref="D155:E155">
    <cfRule type="cellIs" dxfId="309" priority="26" operator="equal">
      <formula>C155</formula>
    </cfRule>
  </conditionalFormatting>
  <conditionalFormatting sqref="F155">
    <cfRule type="cellIs" dxfId="308" priority="24" operator="equal">
      <formula>G155</formula>
    </cfRule>
    <cfRule type="cellIs" dxfId="307" priority="25" operator="equal">
      <formula>E155</formula>
    </cfRule>
  </conditionalFormatting>
  <conditionalFormatting sqref="C156">
    <cfRule type="cellIs" dxfId="306" priority="23" operator="equal">
      <formula>B156</formula>
    </cfRule>
  </conditionalFormatting>
  <conditionalFormatting sqref="D156:E156">
    <cfRule type="cellIs" dxfId="305" priority="22" operator="equal">
      <formula>C156</formula>
    </cfRule>
  </conditionalFormatting>
  <conditionalFormatting sqref="F156">
    <cfRule type="cellIs" dxfId="304" priority="20" operator="equal">
      <formula>G156</formula>
    </cfRule>
    <cfRule type="cellIs" dxfId="303" priority="21" operator="equal">
      <formula>E156</formula>
    </cfRule>
  </conditionalFormatting>
  <conditionalFormatting sqref="C157">
    <cfRule type="cellIs" dxfId="302" priority="19" operator="equal">
      <formula>B157</formula>
    </cfRule>
  </conditionalFormatting>
  <conditionalFormatting sqref="D157:E157">
    <cfRule type="cellIs" dxfId="301" priority="18" operator="equal">
      <formula>C157</formula>
    </cfRule>
  </conditionalFormatting>
  <conditionalFormatting sqref="F157">
    <cfRule type="cellIs" dxfId="300" priority="16" operator="equal">
      <formula>G157</formula>
    </cfRule>
    <cfRule type="cellIs" dxfId="299" priority="17" operator="equal">
      <formula>E157</formula>
    </cfRule>
  </conditionalFormatting>
  <conditionalFormatting sqref="C159">
    <cfRule type="cellIs" dxfId="298" priority="15" operator="equal">
      <formula>B159</formula>
    </cfRule>
  </conditionalFormatting>
  <conditionalFormatting sqref="D159:E159">
    <cfRule type="cellIs" dxfId="297" priority="14" operator="equal">
      <formula>C159</formula>
    </cfRule>
  </conditionalFormatting>
  <conditionalFormatting sqref="F159">
    <cfRule type="cellIs" dxfId="296" priority="12" operator="equal">
      <formula>G159</formula>
    </cfRule>
    <cfRule type="cellIs" dxfId="295" priority="13" operator="equal">
      <formula>E159</formula>
    </cfRule>
  </conditionalFormatting>
  <conditionalFormatting sqref="C160">
    <cfRule type="cellIs" dxfId="294" priority="11" operator="equal">
      <formula>B160</formula>
    </cfRule>
  </conditionalFormatting>
  <conditionalFormatting sqref="D160:E160">
    <cfRule type="cellIs" dxfId="293" priority="10" operator="equal">
      <formula>C160</formula>
    </cfRule>
  </conditionalFormatting>
  <conditionalFormatting sqref="F160">
    <cfRule type="cellIs" dxfId="292" priority="8" operator="equal">
      <formula>G160</formula>
    </cfRule>
    <cfRule type="cellIs" dxfId="291" priority="9" operator="equal">
      <formula>E160</formula>
    </cfRule>
  </conditionalFormatting>
  <conditionalFormatting sqref="B152:B153 B158 B161">
    <cfRule type="cellIs" dxfId="290" priority="7" operator="equal">
      <formula>A152</formula>
    </cfRule>
  </conditionalFormatting>
  <conditionalFormatting sqref="B154">
    <cfRule type="cellIs" dxfId="289" priority="6" operator="equal">
      <formula>A154</formula>
    </cfRule>
  </conditionalFormatting>
  <conditionalFormatting sqref="B155">
    <cfRule type="cellIs" dxfId="288" priority="5" operator="equal">
      <formula>A155</formula>
    </cfRule>
  </conditionalFormatting>
  <conditionalFormatting sqref="B156">
    <cfRule type="cellIs" dxfId="287" priority="4" operator="equal">
      <formula>A156</formula>
    </cfRule>
  </conditionalFormatting>
  <conditionalFormatting sqref="B157">
    <cfRule type="cellIs" dxfId="286" priority="3" operator="equal">
      <formula>A157</formula>
    </cfRule>
  </conditionalFormatting>
  <conditionalFormatting sqref="B159">
    <cfRule type="cellIs" dxfId="285" priority="2" operator="equal">
      <formula>A159</formula>
    </cfRule>
  </conditionalFormatting>
  <conditionalFormatting sqref="B160">
    <cfRule type="cellIs" dxfId="284" priority="1" operator="equal">
      <formula>A160</formula>
    </cfRule>
  </conditionalFormatting>
  <hyperlinks>
    <hyperlink ref="I147" location="'HSC EXP 1AC SUW DRRS'!A1" display="Top" xr:uid="{00000000-0004-0000-0600-000000000000}"/>
    <hyperlink ref="I148" location="Inventory!A1" display="Inventory" xr:uid="{00000000-0004-0000-0600-000001000000}"/>
    <hyperlink ref="H1" location="Inventory!A1" display="Inventory" xr:uid="{00000000-0004-0000-0600-000002000000}"/>
    <hyperlink ref="H2" location="'HSC EXP 1AC SUW DRRS'!A164" display="AMFOM" xr:uid="{00000000-0004-0000-0600-000003000000}"/>
  </hyperlinks>
  <printOptions horizontalCentered="1" verticalCentered="1"/>
  <pageMargins left="0.5" right="0.25" top="0.5" bottom="0.5" header="0.5" footer="0.5"/>
  <pageSetup scale="28"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G186"/>
  <sheetViews>
    <sheetView showGridLines="0" topLeftCell="A17" zoomScaleNormal="100" zoomScaleSheetLayoutView="100" workbookViewId="0">
      <selection activeCell="B56" sqref="B56:B57"/>
    </sheetView>
  </sheetViews>
  <sheetFormatPr defaultRowHeight="12" x14ac:dyDescent="0.2"/>
  <cols>
    <col min="1" max="1" width="62" style="28" bestFit="1" customWidth="1"/>
    <col min="2" max="29" width="5.7109375" style="28" customWidth="1"/>
    <col min="30" max="30" width="7" style="28" bestFit="1" customWidth="1"/>
    <col min="31" max="32" width="5.7109375" style="28" customWidth="1"/>
    <col min="33" max="16384" width="9.140625" style="28"/>
  </cols>
  <sheetData>
    <row r="1" spans="1:30" s="1" customFormat="1" ht="18.75" x14ac:dyDescent="0.3">
      <c r="A1" s="769" t="s">
        <v>257</v>
      </c>
      <c r="B1" s="769"/>
      <c r="C1" s="769"/>
      <c r="E1" s="150"/>
      <c r="H1" s="241" t="s">
        <v>62</v>
      </c>
      <c r="L1" s="151" t="s">
        <v>3</v>
      </c>
      <c r="M1" s="770">
        <v>44835</v>
      </c>
      <c r="N1" s="771"/>
      <c r="O1" s="772"/>
      <c r="P1" s="772"/>
      <c r="AC1" s="423" t="s">
        <v>63</v>
      </c>
      <c r="AD1" s="424">
        <v>7.06</v>
      </c>
    </row>
    <row r="2" spans="1:30" s="8" customFormat="1" x14ac:dyDescent="0.2">
      <c r="A2" s="135" t="s">
        <v>64</v>
      </c>
      <c r="B2" s="3">
        <v>1</v>
      </c>
      <c r="C2" s="4"/>
      <c r="E2" s="5"/>
      <c r="H2" s="623" t="s">
        <v>1</v>
      </c>
    </row>
    <row r="3" spans="1:30" s="8" customFormat="1" ht="11.25" x14ac:dyDescent="0.2">
      <c r="A3" s="135" t="s">
        <v>65</v>
      </c>
      <c r="B3" s="65">
        <f>B4/B2</f>
        <v>2</v>
      </c>
      <c r="C3" s="12"/>
      <c r="I3" s="195"/>
      <c r="J3" s="95"/>
      <c r="K3" s="96"/>
      <c r="N3" s="95"/>
    </row>
    <row r="4" spans="1:30" s="8" customFormat="1" ht="11.25" x14ac:dyDescent="0.2">
      <c r="A4" s="135" t="s">
        <v>66</v>
      </c>
      <c r="B4" s="10">
        <v>2</v>
      </c>
      <c r="C4" s="14"/>
      <c r="D4" s="15"/>
      <c r="E4" s="15"/>
      <c r="F4" s="16"/>
      <c r="G4" s="17"/>
      <c r="H4" s="18"/>
      <c r="I4" s="195"/>
      <c r="J4" s="95"/>
      <c r="K4" s="96"/>
      <c r="N4" s="95"/>
    </row>
    <row r="5" spans="1:30" s="8" customFormat="1" ht="11.25" x14ac:dyDescent="0.2">
      <c r="A5" s="135" t="s">
        <v>67</v>
      </c>
      <c r="B5" s="19">
        <v>2</v>
      </c>
      <c r="C5" s="14"/>
      <c r="D5" s="15"/>
      <c r="E5" s="15"/>
      <c r="F5" s="20"/>
      <c r="G5" s="18"/>
      <c r="H5" s="18"/>
      <c r="I5" s="195"/>
      <c r="J5" s="95"/>
      <c r="K5" s="97"/>
      <c r="N5" s="95"/>
    </row>
    <row r="6" spans="1:30" s="8" customFormat="1" ht="11.25" x14ac:dyDescent="0.2">
      <c r="A6" s="136" t="s">
        <v>68</v>
      </c>
      <c r="B6" s="452">
        <v>25.8</v>
      </c>
      <c r="C6" s="21"/>
      <c r="D6" s="22"/>
      <c r="E6" s="22"/>
      <c r="F6" s="20"/>
      <c r="G6" s="18"/>
      <c r="H6" s="18"/>
      <c r="I6" s="195"/>
      <c r="J6" s="95"/>
      <c r="K6" s="97"/>
      <c r="N6" s="95"/>
    </row>
    <row r="7" spans="1:30" s="8" customFormat="1" ht="11.25" x14ac:dyDescent="0.2">
      <c r="A7" s="135" t="s">
        <v>69</v>
      </c>
      <c r="B7" s="65">
        <f>B6*B4</f>
        <v>51.6</v>
      </c>
      <c r="C7" s="14"/>
      <c r="D7" s="14"/>
      <c r="E7" s="15"/>
      <c r="F7" s="20"/>
      <c r="G7" s="18"/>
      <c r="H7" s="18"/>
      <c r="I7" s="195"/>
      <c r="J7" s="95"/>
      <c r="K7" s="97"/>
      <c r="N7" s="95"/>
    </row>
    <row r="8" spans="1:30" s="8" customFormat="1" ht="11.25" x14ac:dyDescent="0.2">
      <c r="A8" s="135" t="s">
        <v>70</v>
      </c>
      <c r="B8" s="65">
        <f>B7/B5</f>
        <v>25.8</v>
      </c>
      <c r="C8" s="13"/>
      <c r="D8" s="14"/>
      <c r="E8" s="14"/>
      <c r="F8" s="20"/>
      <c r="G8" s="18"/>
      <c r="H8" s="18"/>
      <c r="I8" s="195"/>
      <c r="J8" s="95"/>
      <c r="K8" s="97"/>
      <c r="N8" s="95"/>
    </row>
    <row r="9" spans="1:30" s="8" customFormat="1" ht="11.25" x14ac:dyDescent="0.2">
      <c r="A9" s="135" t="s">
        <v>71</v>
      </c>
      <c r="B9" s="65">
        <f>B4*C9</f>
        <v>2</v>
      </c>
      <c r="C9" s="23">
        <v>1</v>
      </c>
      <c r="D9" s="203" t="s">
        <v>72</v>
      </c>
      <c r="E9" s="14"/>
      <c r="F9" s="20"/>
      <c r="G9" s="132" t="s">
        <v>73</v>
      </c>
      <c r="H9" s="133">
        <v>0.4</v>
      </c>
      <c r="J9" s="95"/>
      <c r="K9" s="97"/>
      <c r="N9" s="95"/>
    </row>
    <row r="10" spans="1:30" s="8" customFormat="1" ht="11.25" x14ac:dyDescent="0.2">
      <c r="A10" s="135" t="s">
        <v>74</v>
      </c>
      <c r="B10" s="11">
        <f>B4*C10</f>
        <v>4</v>
      </c>
      <c r="C10" s="23">
        <v>2</v>
      </c>
      <c r="D10" s="203" t="s">
        <v>72</v>
      </c>
      <c r="E10" s="11"/>
      <c r="F10" s="20"/>
      <c r="G10" s="134" t="s">
        <v>75</v>
      </c>
      <c r="H10" s="454">
        <v>0.23799999999999999</v>
      </c>
      <c r="J10" s="95"/>
      <c r="K10" s="97"/>
      <c r="N10" s="95"/>
    </row>
    <row r="11" spans="1:30" s="8" customFormat="1" ht="11.25" x14ac:dyDescent="0.2">
      <c r="A11" s="200" t="s">
        <v>76</v>
      </c>
      <c r="B11" s="201">
        <f>C11*B4</f>
        <v>2</v>
      </c>
      <c r="C11" s="202">
        <v>1</v>
      </c>
      <c r="D11" s="203" t="s">
        <v>72</v>
      </c>
      <c r="E11" s="25"/>
      <c r="F11" s="11"/>
      <c r="G11" s="11"/>
      <c r="H11" s="11"/>
      <c r="I11" s="195"/>
      <c r="J11" s="95"/>
      <c r="K11" s="97"/>
      <c r="N11" s="95"/>
    </row>
    <row r="12" spans="1:30" s="8" customFormat="1" ht="11.25" x14ac:dyDescent="0.2">
      <c r="C12" s="25"/>
      <c r="D12" s="25"/>
      <c r="E12" s="25"/>
      <c r="F12" s="11"/>
      <c r="G12" s="11"/>
      <c r="H12" s="11"/>
      <c r="I12" s="195"/>
      <c r="J12" s="95"/>
      <c r="K12" s="97"/>
      <c r="N12" s="95"/>
    </row>
    <row r="13" spans="1:30" s="26" customFormat="1" ht="59.25" customHeight="1" x14ac:dyDescent="0.2">
      <c r="A13" s="66" t="s">
        <v>77</v>
      </c>
      <c r="B13" s="67" t="s">
        <v>83</v>
      </c>
      <c r="C13" s="67" t="s">
        <v>79</v>
      </c>
      <c r="D13" s="163" t="s">
        <v>84</v>
      </c>
    </row>
    <row r="14" spans="1:30" s="27" customFormat="1" x14ac:dyDescent="0.2">
      <c r="A14" s="66" t="s">
        <v>85</v>
      </c>
      <c r="B14" s="303" t="s">
        <v>102</v>
      </c>
      <c r="C14" s="303" t="s">
        <v>86</v>
      </c>
      <c r="D14" s="164" t="s">
        <v>113</v>
      </c>
    </row>
    <row r="15" spans="1:30" s="27" customFormat="1" x14ac:dyDescent="0.2">
      <c r="A15" s="66" t="s">
        <v>114</v>
      </c>
      <c r="B15" s="125">
        <v>1</v>
      </c>
      <c r="C15" s="125">
        <v>2</v>
      </c>
      <c r="D15" s="164">
        <v>30</v>
      </c>
    </row>
    <row r="16" spans="1:30" x14ac:dyDescent="0.2">
      <c r="A16" s="66" t="s">
        <v>115</v>
      </c>
      <c r="B16" s="304" t="s">
        <v>83</v>
      </c>
      <c r="C16" s="304" t="s">
        <v>242</v>
      </c>
      <c r="D16" s="164" t="s">
        <v>121</v>
      </c>
    </row>
    <row r="17" spans="1:4" ht="12.75" x14ac:dyDescent="0.2">
      <c r="A17" s="153" t="s">
        <v>122</v>
      </c>
      <c r="B17" s="30"/>
      <c r="C17" s="33"/>
      <c r="D17" s="87"/>
    </row>
    <row r="18" spans="1:4" x14ac:dyDescent="0.2">
      <c r="A18" s="178" t="s">
        <v>123</v>
      </c>
      <c r="B18" s="177">
        <f t="shared" ref="B18:D18" si="0">IF(B101&lt;80,B102,MIN(B101,80))</f>
        <v>80</v>
      </c>
      <c r="C18" s="177">
        <f t="shared" si="0"/>
        <v>22</v>
      </c>
      <c r="D18" s="177">
        <f t="shared" si="0"/>
        <v>15</v>
      </c>
    </row>
    <row r="19" spans="1:4" x14ac:dyDescent="0.2">
      <c r="A19" s="34" t="s">
        <v>124</v>
      </c>
      <c r="B19" s="71">
        <v>0.7</v>
      </c>
      <c r="C19" s="71">
        <v>0.5</v>
      </c>
      <c r="D19" s="305">
        <v>0.4</v>
      </c>
    </row>
    <row r="20" spans="1:4" x14ac:dyDescent="0.2">
      <c r="A20" s="204" t="s">
        <v>125</v>
      </c>
      <c r="B20" s="147"/>
      <c r="C20" s="208"/>
      <c r="D20" s="216"/>
    </row>
    <row r="21" spans="1:4" s="38" customFormat="1" x14ac:dyDescent="0.2">
      <c r="A21" s="205" t="s">
        <v>126</v>
      </c>
      <c r="B21" s="209">
        <f t="shared" ref="B21:C21" si="1">B19*$B$8</f>
        <v>18.059999999999999</v>
      </c>
      <c r="C21" s="209">
        <f t="shared" si="1"/>
        <v>12.9</v>
      </c>
      <c r="D21" s="137">
        <f>D19*$B$8</f>
        <v>10.32</v>
      </c>
    </row>
    <row r="22" spans="1:4" s="40" customFormat="1" x14ac:dyDescent="0.2">
      <c r="A22" s="205" t="s">
        <v>127</v>
      </c>
      <c r="B22" s="37">
        <f t="shared" ref="B22:D22" si="2">B21*$B$5</f>
        <v>36.119999999999997</v>
      </c>
      <c r="C22" s="37">
        <f t="shared" si="2"/>
        <v>25.8</v>
      </c>
      <c r="D22" s="37">
        <f t="shared" si="2"/>
        <v>20.64</v>
      </c>
    </row>
    <row r="23" spans="1:4" s="40" customFormat="1" x14ac:dyDescent="0.2">
      <c r="A23" s="205" t="s">
        <v>128</v>
      </c>
      <c r="B23" s="139">
        <f>$B$9</f>
        <v>2</v>
      </c>
      <c r="C23" s="139">
        <f t="shared" ref="C23:D23" si="3">$B$9</f>
        <v>2</v>
      </c>
      <c r="D23" s="139">
        <f t="shared" si="3"/>
        <v>2</v>
      </c>
    </row>
    <row r="24" spans="1:4" s="40" customFormat="1" x14ac:dyDescent="0.2">
      <c r="A24" s="205" t="s">
        <v>129</v>
      </c>
      <c r="B24" s="139">
        <f>IF(ISBLANK(B145),0,$B$10)</f>
        <v>4</v>
      </c>
      <c r="C24" s="139">
        <f>IF(ISBLANK(C145),0,$B$10)</f>
        <v>0</v>
      </c>
      <c r="D24" s="139">
        <f>IF(ISBLANK(#REF!),0,$B$10)</f>
        <v>4</v>
      </c>
    </row>
    <row r="25" spans="1:4" s="40" customFormat="1" x14ac:dyDescent="0.2">
      <c r="A25" s="205" t="s">
        <v>130</v>
      </c>
      <c r="B25" s="37">
        <f>B21*$B$5+SUM(B23:B24)</f>
        <v>42.12</v>
      </c>
      <c r="C25" s="37">
        <f t="shared" ref="C25:D25" si="4">C21*$B$5+SUM(C23:C24)</f>
        <v>27.8</v>
      </c>
      <c r="D25" s="37">
        <f t="shared" si="4"/>
        <v>26.64</v>
      </c>
    </row>
    <row r="26" spans="1:4" s="40" customFormat="1" x14ac:dyDescent="0.2">
      <c r="A26" s="206" t="s">
        <v>131</v>
      </c>
      <c r="B26" s="39">
        <f>-IF(ISBLANK(B144),0,MIN(B$22*$H$10,B$22-$B$7*$H$9))</f>
        <v>0</v>
      </c>
      <c r="C26" s="39">
        <f>-IF(ISBLANK(C144),0,MIN(C$22*$H$10,C$22-$B$7*$H$9))</f>
        <v>-5.16</v>
      </c>
      <c r="D26" s="39">
        <f>-IF(ISBLANK(D144),0,MIN(D$22*$H$10,D$22-$B$7*$H$9))</f>
        <v>0</v>
      </c>
    </row>
    <row r="27" spans="1:4" s="40" customFormat="1" x14ac:dyDescent="0.2">
      <c r="A27" s="205" t="s">
        <v>132</v>
      </c>
      <c r="B27" s="39">
        <f t="shared" ref="B27:C27" si="5">SUM(B25:B26)</f>
        <v>42.12</v>
      </c>
      <c r="C27" s="39">
        <f t="shared" si="5"/>
        <v>22.64</v>
      </c>
      <c r="D27" s="37">
        <f t="shared" ref="D27" si="6">SUM(D25:D26)</f>
        <v>26.64</v>
      </c>
    </row>
    <row r="28" spans="1:4" s="40" customFormat="1" x14ac:dyDescent="0.2">
      <c r="A28" s="206" t="s">
        <v>133</v>
      </c>
      <c r="B28" s="41">
        <f>AVERAGE($B$22:$C$22)</f>
        <v>30.96</v>
      </c>
      <c r="C28" s="41">
        <f>AVERAGE($B$22:$C$22)</f>
        <v>30.96</v>
      </c>
      <c r="D28" s="37">
        <f>SUM(D25:D26)</f>
        <v>26.64</v>
      </c>
    </row>
    <row r="29" spans="1:4" s="40" customFormat="1" x14ac:dyDescent="0.2">
      <c r="A29" s="207" t="s">
        <v>134</v>
      </c>
      <c r="B29" s="138"/>
      <c r="C29" s="213"/>
      <c r="D29" s="213"/>
    </row>
    <row r="30" spans="1:4" s="40" customFormat="1" x14ac:dyDescent="0.2">
      <c r="A30" s="206" t="s">
        <v>135</v>
      </c>
      <c r="B30" s="39">
        <f>IF(ISBLANK(B144),0,$B$11)</f>
        <v>0</v>
      </c>
      <c r="C30" s="39">
        <f>IF(ISBLANK(C144),0,$B$11)</f>
        <v>2</v>
      </c>
      <c r="D30" s="39">
        <f>IF(ISBLANK(D144),0,$B$11)</f>
        <v>2</v>
      </c>
    </row>
    <row r="31" spans="1:4" s="40" customFormat="1" ht="12.75" x14ac:dyDescent="0.2">
      <c r="A31" s="153" t="s">
        <v>136</v>
      </c>
      <c r="B31" s="42"/>
      <c r="C31" s="306"/>
      <c r="D31" s="87"/>
    </row>
    <row r="32" spans="1:4" s="40" customFormat="1" x14ac:dyDescent="0.2">
      <c r="A32" s="333" t="s">
        <v>137</v>
      </c>
      <c r="B32" s="35">
        <v>1</v>
      </c>
      <c r="C32" s="35">
        <v>0.8</v>
      </c>
      <c r="D32" s="35">
        <v>0.7</v>
      </c>
    </row>
    <row r="33" spans="1:33" s="40" customFormat="1" x14ac:dyDescent="0.2">
      <c r="A33" s="333" t="s">
        <v>138</v>
      </c>
      <c r="B33" s="43">
        <f>0.8*B32</f>
        <v>0.8</v>
      </c>
      <c r="C33" s="43">
        <f t="shared" ref="C33:D33" si="7">0.8*C32</f>
        <v>0.64000000000000012</v>
      </c>
      <c r="D33" s="43">
        <f t="shared" si="7"/>
        <v>0.55999999999999994</v>
      </c>
    </row>
    <row r="34" spans="1:33" s="40" customFormat="1" x14ac:dyDescent="0.2">
      <c r="A34" s="333" t="s">
        <v>139</v>
      </c>
      <c r="B34" s="43">
        <f>((B36*$B$176)/$B$2)</f>
        <v>0.60805590946398813</v>
      </c>
      <c r="C34" s="43">
        <f t="shared" ref="C34:D34" si="8">((C36*$B$176)/$B$2)</f>
        <v>0.4864447275711905</v>
      </c>
      <c r="D34" s="43">
        <f t="shared" si="8"/>
        <v>0.42563913662479169</v>
      </c>
    </row>
    <row r="35" spans="1:33" s="40" customFormat="1" x14ac:dyDescent="0.2">
      <c r="A35" s="205" t="s">
        <v>140</v>
      </c>
      <c r="B35" s="45">
        <f>ROUND($B$2*B$32,2)</f>
        <v>1</v>
      </c>
      <c r="C35" s="45">
        <f>ROUND($B$2*C$32,2)</f>
        <v>0.8</v>
      </c>
      <c r="D35" s="45">
        <f>ROUND($B$2*D$32,2)</f>
        <v>0.7</v>
      </c>
    </row>
    <row r="36" spans="1:33" x14ac:dyDescent="0.2">
      <c r="A36" s="205" t="s">
        <v>141</v>
      </c>
      <c r="B36" s="45">
        <f>ROUND( $B$2*B$33,2)</f>
        <v>0.8</v>
      </c>
      <c r="C36" s="45">
        <f>ROUND( $B$2*C$33,2)</f>
        <v>0.64</v>
      </c>
      <c r="D36" s="165">
        <f>ROUND( $B$2*D$33,2)</f>
        <v>0.56000000000000005</v>
      </c>
    </row>
    <row r="37" spans="1:33" x14ac:dyDescent="0.2">
      <c r="A37" s="620" t="s">
        <v>142</v>
      </c>
      <c r="B37" s="671">
        <f>B34*$B$2</f>
        <v>0.60805590946398813</v>
      </c>
      <c r="C37" s="671">
        <f t="shared" ref="C37:D37" si="9">C34*$B$2</f>
        <v>0.4864447275711905</v>
      </c>
      <c r="D37" s="671">
        <f t="shared" si="9"/>
        <v>0.42563913662479169</v>
      </c>
    </row>
    <row r="38" spans="1:33" ht="12.75" x14ac:dyDescent="0.2">
      <c r="A38" s="154" t="s">
        <v>143</v>
      </c>
      <c r="B38" s="86"/>
      <c r="C38" s="47"/>
      <c r="D38" s="637"/>
      <c r="E38" s="307"/>
      <c r="F38" s="307"/>
      <c r="G38" s="307"/>
      <c r="H38" s="307"/>
      <c r="I38" s="307"/>
      <c r="J38" s="308"/>
      <c r="K38" s="308"/>
      <c r="L38" s="307"/>
      <c r="M38" s="307"/>
      <c r="O38" s="309"/>
      <c r="P38" s="310"/>
      <c r="Q38" s="307"/>
      <c r="R38" s="309"/>
      <c r="S38" s="309"/>
      <c r="T38" s="309"/>
      <c r="U38" s="309"/>
      <c r="V38" s="309"/>
      <c r="W38" s="309"/>
      <c r="X38" s="309"/>
      <c r="Y38" s="309"/>
      <c r="Z38" s="309"/>
      <c r="AA38" s="309"/>
      <c r="AB38" s="309"/>
      <c r="AC38" s="249"/>
      <c r="AD38" s="82"/>
      <c r="AE38" s="82"/>
      <c r="AF38" s="82"/>
      <c r="AG38" s="82"/>
    </row>
    <row r="39" spans="1:33" x14ac:dyDescent="0.2">
      <c r="A39" s="311" t="s">
        <v>144</v>
      </c>
      <c r="B39" s="633">
        <f>B$36*$B177</f>
        <v>0.45695424569093551</v>
      </c>
      <c r="C39" s="633">
        <f t="shared" ref="C39:D48" si="10">C$36*$B177</f>
        <v>0.36556339655274839</v>
      </c>
      <c r="D39" s="633">
        <f t="shared" si="10"/>
        <v>0.31986797198365491</v>
      </c>
    </row>
    <row r="40" spans="1:33" x14ac:dyDescent="0.2">
      <c r="A40" s="292" t="s">
        <v>145</v>
      </c>
      <c r="B40" s="633">
        <f t="shared" ref="B40:D48" si="11">B$36*$B178</f>
        <v>0</v>
      </c>
      <c r="C40" s="633">
        <f t="shared" si="11"/>
        <v>0</v>
      </c>
      <c r="D40" s="633">
        <f t="shared" si="11"/>
        <v>0</v>
      </c>
    </row>
    <row r="41" spans="1:33" x14ac:dyDescent="0.2">
      <c r="A41" s="311" t="s">
        <v>146</v>
      </c>
      <c r="B41" s="633">
        <f t="shared" si="11"/>
        <v>0.567213482701029</v>
      </c>
      <c r="C41" s="633">
        <f t="shared" si="10"/>
        <v>0.45377078616082323</v>
      </c>
      <c r="D41" s="633">
        <f t="shared" si="10"/>
        <v>0.39704943789072034</v>
      </c>
    </row>
    <row r="42" spans="1:33" x14ac:dyDescent="0.2">
      <c r="A42" s="311" t="s">
        <v>147</v>
      </c>
      <c r="B42" s="633">
        <f t="shared" si="11"/>
        <v>0.567213482701029</v>
      </c>
      <c r="C42" s="633">
        <f t="shared" si="10"/>
        <v>0.45377078616082323</v>
      </c>
      <c r="D42" s="633">
        <f t="shared" si="10"/>
        <v>0.39704943789072034</v>
      </c>
    </row>
    <row r="43" spans="1:33" x14ac:dyDescent="0.2">
      <c r="A43" s="311" t="s">
        <v>148</v>
      </c>
      <c r="B43" s="633">
        <f t="shared" si="11"/>
        <v>0.42457041384181715</v>
      </c>
      <c r="C43" s="633">
        <f t="shared" si="10"/>
        <v>0.33965633107345367</v>
      </c>
      <c r="D43" s="633">
        <f t="shared" si="10"/>
        <v>0.29719928968927201</v>
      </c>
    </row>
    <row r="44" spans="1:33" x14ac:dyDescent="0.2">
      <c r="A44" s="311" t="s">
        <v>149</v>
      </c>
      <c r="B44" s="633">
        <f t="shared" si="11"/>
        <v>0.42457041384181715</v>
      </c>
      <c r="C44" s="633">
        <f t="shared" si="10"/>
        <v>0.33965633107345367</v>
      </c>
      <c r="D44" s="633">
        <f t="shared" si="10"/>
        <v>0.29719928968927201</v>
      </c>
    </row>
    <row r="45" spans="1:33" x14ac:dyDescent="0.2">
      <c r="A45" s="292" t="s">
        <v>150</v>
      </c>
      <c r="B45" s="633">
        <f t="shared" si="11"/>
        <v>0</v>
      </c>
      <c r="C45" s="633">
        <f t="shared" si="10"/>
        <v>0</v>
      </c>
      <c r="D45" s="633">
        <f t="shared" si="10"/>
        <v>0</v>
      </c>
    </row>
    <row r="46" spans="1:33" x14ac:dyDescent="0.2">
      <c r="A46" s="292" t="s">
        <v>151</v>
      </c>
      <c r="B46" s="633">
        <f t="shared" si="11"/>
        <v>0.567213482701029</v>
      </c>
      <c r="C46" s="633">
        <f t="shared" si="10"/>
        <v>0.45377078616082323</v>
      </c>
      <c r="D46" s="633">
        <f t="shared" si="10"/>
        <v>0.39704943789072034</v>
      </c>
    </row>
    <row r="47" spans="1:33" x14ac:dyDescent="0.2">
      <c r="A47" s="311" t="s">
        <v>152</v>
      </c>
      <c r="B47" s="633">
        <f>IF(B$13="Deploy",B$36,B$36*$B185)</f>
        <v>0.8</v>
      </c>
      <c r="C47" s="633">
        <f t="shared" ref="C47:D47" si="12">IF(C$13="Deploy",C$36,C$36*$B185)</f>
        <v>0.15106962497441959</v>
      </c>
      <c r="D47" s="633">
        <f t="shared" si="12"/>
        <v>0.13218592185261716</v>
      </c>
    </row>
    <row r="48" spans="1:33" ht="12.75" x14ac:dyDescent="0.2">
      <c r="A48" s="369" t="s">
        <v>153</v>
      </c>
      <c r="B48" s="633">
        <f t="shared" si="11"/>
        <v>0.8</v>
      </c>
      <c r="C48" s="633">
        <f t="shared" si="10"/>
        <v>0.64</v>
      </c>
      <c r="D48" s="633">
        <f t="shared" si="10"/>
        <v>0.56000000000000005</v>
      </c>
    </row>
    <row r="49" spans="1:5" ht="12.75" x14ac:dyDescent="0.2">
      <c r="A49" s="153" t="s">
        <v>154</v>
      </c>
      <c r="B49" s="47"/>
      <c r="C49" s="99"/>
      <c r="D49" s="83"/>
    </row>
    <row r="50" spans="1:5" x14ac:dyDescent="0.2">
      <c r="A50" s="293" t="s">
        <v>155</v>
      </c>
      <c r="B50" s="46">
        <v>0</v>
      </c>
      <c r="C50" s="46">
        <v>0</v>
      </c>
      <c r="D50" s="46">
        <v>0</v>
      </c>
    </row>
    <row r="51" spans="1:5" x14ac:dyDescent="0.2">
      <c r="A51" s="294" t="s">
        <v>156</v>
      </c>
      <c r="B51" s="52">
        <v>0</v>
      </c>
      <c r="C51" s="52">
        <v>0</v>
      </c>
      <c r="D51" s="52">
        <v>0</v>
      </c>
    </row>
    <row r="52" spans="1:5" x14ac:dyDescent="0.2">
      <c r="A52" s="293" t="s">
        <v>157</v>
      </c>
      <c r="B52" s="46">
        <v>0</v>
      </c>
      <c r="C52" s="46">
        <v>0</v>
      </c>
      <c r="D52" s="46">
        <v>0</v>
      </c>
    </row>
    <row r="53" spans="1:5" x14ac:dyDescent="0.2">
      <c r="A53" s="294" t="s">
        <v>158</v>
      </c>
      <c r="B53" s="52">
        <v>0</v>
      </c>
      <c r="C53" s="52">
        <v>0</v>
      </c>
      <c r="D53" s="52">
        <v>0</v>
      </c>
    </row>
    <row r="54" spans="1:5" s="40" customFormat="1" x14ac:dyDescent="0.2">
      <c r="A54" s="293" t="s">
        <v>159</v>
      </c>
      <c r="B54" s="46">
        <v>0</v>
      </c>
      <c r="C54" s="46">
        <v>0</v>
      </c>
      <c r="D54" s="46">
        <v>0</v>
      </c>
    </row>
    <row r="55" spans="1:5" s="40" customFormat="1" x14ac:dyDescent="0.2">
      <c r="A55" s="294" t="s">
        <v>160</v>
      </c>
      <c r="B55" s="312">
        <v>0</v>
      </c>
      <c r="C55" s="312">
        <v>0</v>
      </c>
      <c r="D55" s="312">
        <v>0</v>
      </c>
    </row>
    <row r="56" spans="1:5" s="40" customFormat="1" x14ac:dyDescent="0.2">
      <c r="A56" s="293" t="s">
        <v>161</v>
      </c>
      <c r="B56" s="46">
        <v>3</v>
      </c>
      <c r="C56" s="46">
        <v>0</v>
      </c>
      <c r="D56" s="46">
        <v>0</v>
      </c>
    </row>
    <row r="57" spans="1:5" s="40" customFormat="1" x14ac:dyDescent="0.2">
      <c r="A57" s="294" t="s">
        <v>162</v>
      </c>
      <c r="B57" s="312">
        <v>2</v>
      </c>
      <c r="C57" s="312">
        <v>0</v>
      </c>
      <c r="D57" s="313">
        <v>0</v>
      </c>
    </row>
    <row r="58" spans="1:5" s="40" customFormat="1" x14ac:dyDescent="0.2">
      <c r="A58" s="293" t="s">
        <v>163</v>
      </c>
      <c r="B58" s="46">
        <v>0</v>
      </c>
      <c r="C58" s="46">
        <v>0</v>
      </c>
      <c r="D58" s="314">
        <v>0</v>
      </c>
    </row>
    <row r="59" spans="1:5" s="40" customFormat="1" x14ac:dyDescent="0.2">
      <c r="A59" s="294" t="s">
        <v>164</v>
      </c>
      <c r="B59" s="313">
        <v>0</v>
      </c>
      <c r="C59" s="313">
        <v>0</v>
      </c>
      <c r="D59" s="315">
        <v>0</v>
      </c>
    </row>
    <row r="60" spans="1:5" ht="12.75" x14ac:dyDescent="0.2">
      <c r="A60" s="155" t="s">
        <v>165</v>
      </c>
      <c r="B60" s="117"/>
      <c r="C60" s="53"/>
      <c r="D60" s="87"/>
      <c r="E60" s="68"/>
    </row>
    <row r="61" spans="1:5" ht="12.75" x14ac:dyDescent="0.2">
      <c r="A61" s="355" t="str">
        <f>A110</f>
        <v>Pilot Upper Limit</v>
      </c>
      <c r="B61" s="145">
        <f>$B110</f>
        <v>4</v>
      </c>
      <c r="C61" s="145">
        <f t="shared" ref="C61:D61" si="13">$B110</f>
        <v>4</v>
      </c>
      <c r="D61" s="145">
        <f t="shared" si="13"/>
        <v>4</v>
      </c>
      <c r="E61" s="68"/>
    </row>
    <row r="62" spans="1:5" ht="12.75" x14ac:dyDescent="0.2">
      <c r="A62" s="355" t="str">
        <f t="shared" ref="A62:A92" si="14">A111</f>
        <v>Pilot Lower Limit</v>
      </c>
      <c r="B62" s="146">
        <f>IF($B111 = 0,"N/A",ROUNDUP(IF(B$13="Deploy",MAX((B$104/100)*$B111,$B111),(B$104/100)*$B111),0))</f>
        <v>4</v>
      </c>
      <c r="C62" s="146">
        <f t="shared" ref="C62:D62" si="15">IF($B111 = 0,"N/A",ROUNDUP(IF(C$13="Deploy",MAX((C$104/100)*$B111,$B111),(C$104/100)*$B111),0))</f>
        <v>2</v>
      </c>
      <c r="D62" s="146">
        <f t="shared" si="15"/>
        <v>2</v>
      </c>
      <c r="E62" s="68"/>
    </row>
    <row r="63" spans="1:5" ht="12.75" x14ac:dyDescent="0.2">
      <c r="A63" s="355" t="str">
        <f t="shared" si="14"/>
        <v>MRWMC Pilots</v>
      </c>
      <c r="B63" s="146" t="str">
        <f t="shared" ref="B63:B77" si="16">IF($B112 = "NA","NA",ROUNDUP(IF(B$13="Deploy",MAX((B$104/100)*$B112,$B112),(B$104/100)*$B112),0))</f>
        <v>NA</v>
      </c>
      <c r="C63" s="146" t="str">
        <f t="shared" ref="C63:D63" si="17">IF($B112 = "NA","NA",ROUNDUP(IF(C$13="Deploy",MAX((C$104/100)*$B112,$B112),(C$104/100)*$B112),0))</f>
        <v>NA</v>
      </c>
      <c r="D63" s="146" t="str">
        <f t="shared" si="17"/>
        <v>NA</v>
      </c>
      <c r="E63" s="68"/>
    </row>
    <row r="64" spans="1:5" ht="12.75" x14ac:dyDescent="0.2">
      <c r="A64" s="355" t="str">
        <f t="shared" si="14"/>
        <v>≥ Level 4 Pilots</v>
      </c>
      <c r="B64" s="146" t="str">
        <f t="shared" si="16"/>
        <v>NA</v>
      </c>
      <c r="C64" s="146" t="str">
        <f t="shared" ref="C64:D77" si="18">IF($B113 = "NA","NA",ROUNDUP(IF(C$13="Deploy",MAX((C$104/100)*$B113,$B113),(C$104/100)*$B113),0))</f>
        <v>NA</v>
      </c>
      <c r="D64" s="146" t="str">
        <f t="shared" si="18"/>
        <v>NA</v>
      </c>
      <c r="E64" s="68"/>
    </row>
    <row r="65" spans="1:5" ht="12.75" x14ac:dyDescent="0.2">
      <c r="A65" s="355" t="str">
        <f t="shared" si="14"/>
        <v>≥ Level 3 Pilots</v>
      </c>
      <c r="B65" s="146">
        <f t="shared" si="16"/>
        <v>1</v>
      </c>
      <c r="C65" s="146">
        <f t="shared" si="18"/>
        <v>1</v>
      </c>
      <c r="D65" s="146">
        <f t="shared" si="18"/>
        <v>1</v>
      </c>
      <c r="E65" s="68"/>
    </row>
    <row r="66" spans="1:5" ht="12.75" x14ac:dyDescent="0.2">
      <c r="A66" s="355" t="str">
        <f t="shared" si="14"/>
        <v>≥ Level 2 Pilots</v>
      </c>
      <c r="B66" s="146">
        <f t="shared" si="16"/>
        <v>2</v>
      </c>
      <c r="C66" s="146">
        <f t="shared" si="18"/>
        <v>1</v>
      </c>
      <c r="D66" s="146">
        <f t="shared" si="18"/>
        <v>1</v>
      </c>
      <c r="E66" s="68"/>
    </row>
    <row r="67" spans="1:5" ht="12.75" x14ac:dyDescent="0.2">
      <c r="A67" s="355" t="str">
        <f t="shared" si="14"/>
        <v>≥ Level 1 Pilots</v>
      </c>
      <c r="B67" s="146">
        <f t="shared" si="16"/>
        <v>4</v>
      </c>
      <c r="C67" s="146">
        <f t="shared" si="18"/>
        <v>2</v>
      </c>
      <c r="D67" s="146">
        <f t="shared" si="18"/>
        <v>2</v>
      </c>
      <c r="E67" s="68"/>
    </row>
    <row r="68" spans="1:5" ht="12.75" x14ac:dyDescent="0.2">
      <c r="A68" s="355" t="str">
        <f t="shared" si="14"/>
        <v>≥ PR/SOF 4 Pilots</v>
      </c>
      <c r="B68" s="146" t="str">
        <f t="shared" si="16"/>
        <v>NA</v>
      </c>
      <c r="C68" s="146" t="str">
        <f t="shared" si="18"/>
        <v>NA</v>
      </c>
      <c r="D68" s="146" t="str">
        <f t="shared" si="18"/>
        <v>NA</v>
      </c>
      <c r="E68" s="68"/>
    </row>
    <row r="69" spans="1:5" ht="12.75" x14ac:dyDescent="0.2">
      <c r="A69" s="355" t="str">
        <f t="shared" si="14"/>
        <v>≥ PR/SOF 3 Pilots</v>
      </c>
      <c r="B69" s="146">
        <f t="shared" si="16"/>
        <v>1</v>
      </c>
      <c r="C69" s="146">
        <f t="shared" si="18"/>
        <v>1</v>
      </c>
      <c r="D69" s="146">
        <f t="shared" si="18"/>
        <v>1</v>
      </c>
      <c r="E69" s="68"/>
    </row>
    <row r="70" spans="1:5" ht="12.75" x14ac:dyDescent="0.2">
      <c r="A70" s="355" t="str">
        <f t="shared" si="14"/>
        <v>≥ PR/SOF 2 Pilots</v>
      </c>
      <c r="B70" s="146">
        <f t="shared" si="16"/>
        <v>1</v>
      </c>
      <c r="C70" s="146">
        <f t="shared" si="18"/>
        <v>1</v>
      </c>
      <c r="D70" s="146">
        <f t="shared" si="18"/>
        <v>1</v>
      </c>
      <c r="E70" s="68"/>
    </row>
    <row r="71" spans="1:5" ht="12.75" x14ac:dyDescent="0.2">
      <c r="A71" s="355" t="str">
        <f t="shared" si="14"/>
        <v>≥ PR/SOF 1 Pilots</v>
      </c>
      <c r="B71" s="146">
        <f t="shared" si="16"/>
        <v>1</v>
      </c>
      <c r="C71" s="146">
        <f t="shared" si="18"/>
        <v>1</v>
      </c>
      <c r="D71" s="146">
        <f t="shared" si="18"/>
        <v>1</v>
      </c>
      <c r="E71" s="68"/>
    </row>
    <row r="72" spans="1:5" ht="12.75" x14ac:dyDescent="0.2">
      <c r="A72" s="355" t="str">
        <f t="shared" si="14"/>
        <v>≥ MIW Level 2 Pilots</v>
      </c>
      <c r="B72" s="146" t="str">
        <f t="shared" si="16"/>
        <v>NA</v>
      </c>
      <c r="C72" s="146" t="str">
        <f t="shared" si="18"/>
        <v>NA</v>
      </c>
      <c r="D72" s="146" t="str">
        <f t="shared" si="18"/>
        <v>NA</v>
      </c>
      <c r="E72" s="68"/>
    </row>
    <row r="73" spans="1:5" ht="12.75" x14ac:dyDescent="0.2">
      <c r="A73" s="355" t="str">
        <f t="shared" si="14"/>
        <v>≥ MIW Level 1 Pilots</v>
      </c>
      <c r="B73" s="146" t="str">
        <f t="shared" si="16"/>
        <v>NA</v>
      </c>
      <c r="C73" s="146" t="str">
        <f t="shared" si="18"/>
        <v>NA</v>
      </c>
      <c r="D73" s="146" t="str">
        <f t="shared" si="18"/>
        <v>NA</v>
      </c>
      <c r="E73" s="68"/>
    </row>
    <row r="74" spans="1:5" ht="12.75" x14ac:dyDescent="0.2">
      <c r="A74" s="355" t="str">
        <f t="shared" si="14"/>
        <v>≥ TAC Level 4 Pilots</v>
      </c>
      <c r="B74" s="146" t="str">
        <f t="shared" si="16"/>
        <v>NA</v>
      </c>
      <c r="C74" s="146" t="str">
        <f t="shared" si="18"/>
        <v>NA</v>
      </c>
      <c r="D74" s="146" t="str">
        <f t="shared" si="18"/>
        <v>NA</v>
      </c>
      <c r="E74" s="68"/>
    </row>
    <row r="75" spans="1:5" ht="12.75" x14ac:dyDescent="0.2">
      <c r="A75" s="355" t="str">
        <f t="shared" si="14"/>
        <v>≥ TAC Level 3 Pilots</v>
      </c>
      <c r="B75" s="146" t="str">
        <f t="shared" si="16"/>
        <v>NA</v>
      </c>
      <c r="C75" s="146" t="str">
        <f t="shared" si="18"/>
        <v>NA</v>
      </c>
      <c r="D75" s="146" t="str">
        <f t="shared" si="18"/>
        <v>NA</v>
      </c>
      <c r="E75" s="68"/>
    </row>
    <row r="76" spans="1:5" ht="12.75" x14ac:dyDescent="0.2">
      <c r="A76" s="355" t="str">
        <f t="shared" si="14"/>
        <v>≥ TAC Level 2 Pilots</v>
      </c>
      <c r="B76" s="146" t="str">
        <f t="shared" si="16"/>
        <v>NA</v>
      </c>
      <c r="C76" s="146" t="str">
        <f t="shared" si="18"/>
        <v>NA</v>
      </c>
      <c r="D76" s="146" t="str">
        <f t="shared" si="18"/>
        <v>NA</v>
      </c>
      <c r="E76" s="68"/>
    </row>
    <row r="77" spans="1:5" ht="12.75" x14ac:dyDescent="0.2">
      <c r="A77" s="355" t="str">
        <f t="shared" si="14"/>
        <v>Mountain Flying School Pilots</v>
      </c>
      <c r="B77" s="146">
        <f t="shared" si="16"/>
        <v>1</v>
      </c>
      <c r="C77" s="146">
        <f t="shared" si="18"/>
        <v>1</v>
      </c>
      <c r="D77" s="146">
        <f t="shared" si="18"/>
        <v>1</v>
      </c>
      <c r="E77" s="68"/>
    </row>
    <row r="78" spans="1:5" ht="12.75" x14ac:dyDescent="0.2">
      <c r="A78" s="355" t="str">
        <f t="shared" si="14"/>
        <v>Aircrew Upper Limit</v>
      </c>
      <c r="B78" s="146">
        <f>$B$127</f>
        <v>4</v>
      </c>
      <c r="C78" s="146">
        <f t="shared" ref="C78:D78" si="19">$B$127</f>
        <v>4</v>
      </c>
      <c r="D78" s="146">
        <f t="shared" si="19"/>
        <v>4</v>
      </c>
      <c r="E78" s="68"/>
    </row>
    <row r="79" spans="1:5" ht="12.75" x14ac:dyDescent="0.2">
      <c r="A79" s="355" t="str">
        <f t="shared" si="14"/>
        <v>Aircrew Lower Limit</v>
      </c>
      <c r="B79" s="146">
        <f t="shared" ref="B79:D92" si="20">IF($B128 = "NA","NA",ROUNDUP(IF(B$13="Deploy",MAX((B$104/100)*$B128,$B128),(B$104/100)*$B128),0))</f>
        <v>4</v>
      </c>
      <c r="C79" s="146">
        <f t="shared" si="20"/>
        <v>2</v>
      </c>
      <c r="D79" s="146">
        <f t="shared" si="20"/>
        <v>2</v>
      </c>
      <c r="E79" s="68"/>
    </row>
    <row r="80" spans="1:5" ht="12.75" x14ac:dyDescent="0.2">
      <c r="A80" s="355" t="str">
        <f t="shared" si="14"/>
        <v>≥ Level 3 Aircrewmen</v>
      </c>
      <c r="B80" s="146">
        <f t="shared" si="20"/>
        <v>1</v>
      </c>
      <c r="C80" s="146">
        <f t="shared" si="20"/>
        <v>1</v>
      </c>
      <c r="D80" s="146">
        <f t="shared" si="20"/>
        <v>1</v>
      </c>
      <c r="E80" s="68"/>
    </row>
    <row r="81" spans="1:8" ht="12.75" x14ac:dyDescent="0.2">
      <c r="A81" s="355" t="str">
        <f t="shared" si="14"/>
        <v>≥ Level 2 Aircrewmen</v>
      </c>
      <c r="B81" s="146">
        <f t="shared" si="20"/>
        <v>4</v>
      </c>
      <c r="C81" s="146">
        <f t="shared" si="20"/>
        <v>2</v>
      </c>
      <c r="D81" s="146">
        <f t="shared" si="20"/>
        <v>2</v>
      </c>
      <c r="E81" s="68"/>
    </row>
    <row r="82" spans="1:8" ht="12.75" x14ac:dyDescent="0.2">
      <c r="A82" s="355" t="str">
        <f t="shared" si="14"/>
        <v>≥ Level 1 Aircrewmen</v>
      </c>
      <c r="B82" s="146">
        <f t="shared" si="20"/>
        <v>4</v>
      </c>
      <c r="C82" s="146">
        <f t="shared" si="20"/>
        <v>2</v>
      </c>
      <c r="D82" s="146">
        <f t="shared" si="20"/>
        <v>2</v>
      </c>
      <c r="E82" s="68"/>
    </row>
    <row r="83" spans="1:8" ht="12.75" x14ac:dyDescent="0.2">
      <c r="A83" s="355" t="str">
        <f t="shared" si="14"/>
        <v>≥ PR/SOF 3 Aircrewmen</v>
      </c>
      <c r="B83" s="146">
        <f t="shared" si="20"/>
        <v>1</v>
      </c>
      <c r="C83" s="146">
        <f t="shared" si="20"/>
        <v>1</v>
      </c>
      <c r="D83" s="146">
        <f t="shared" si="20"/>
        <v>1</v>
      </c>
      <c r="E83" s="68"/>
    </row>
    <row r="84" spans="1:8" ht="12.75" x14ac:dyDescent="0.2">
      <c r="A84" s="355" t="str">
        <f t="shared" si="14"/>
        <v>≥ MIW Level 2 Aircrewmen</v>
      </c>
      <c r="B84" s="146" t="str">
        <f t="shared" si="20"/>
        <v>NA</v>
      </c>
      <c r="C84" s="146" t="str">
        <f t="shared" si="20"/>
        <v>NA</v>
      </c>
      <c r="D84" s="146" t="str">
        <f t="shared" si="20"/>
        <v>NA</v>
      </c>
      <c r="E84" s="68"/>
    </row>
    <row r="85" spans="1:8" ht="12.75" x14ac:dyDescent="0.2">
      <c r="A85" s="355" t="str">
        <f t="shared" si="14"/>
        <v>≥ MIW Level 1 Aircrewmen</v>
      </c>
      <c r="B85" s="146" t="str">
        <f t="shared" si="20"/>
        <v>NA</v>
      </c>
      <c r="C85" s="146" t="str">
        <f t="shared" si="20"/>
        <v>NA</v>
      </c>
      <c r="D85" s="146" t="str">
        <f t="shared" si="20"/>
        <v>NA</v>
      </c>
      <c r="E85" s="68"/>
    </row>
    <row r="86" spans="1:8" ht="12.75" x14ac:dyDescent="0.2">
      <c r="A86" s="355" t="str">
        <f t="shared" si="14"/>
        <v>≥ TAC Level 3 Aircrewmen</v>
      </c>
      <c r="B86" s="146" t="str">
        <f t="shared" si="20"/>
        <v>NA</v>
      </c>
      <c r="C86" s="146" t="str">
        <f t="shared" si="20"/>
        <v>NA</v>
      </c>
      <c r="D86" s="146" t="str">
        <f t="shared" si="20"/>
        <v>NA</v>
      </c>
      <c r="E86" s="68"/>
    </row>
    <row r="87" spans="1:8" ht="12.75" x14ac:dyDescent="0.2">
      <c r="A87" s="355" t="str">
        <f t="shared" si="14"/>
        <v>≥ TAC Level 2 Aircrewmen</v>
      </c>
      <c r="B87" s="146" t="str">
        <f t="shared" si="20"/>
        <v>NA</v>
      </c>
      <c r="C87" s="146" t="str">
        <f t="shared" si="20"/>
        <v>NA</v>
      </c>
      <c r="D87" s="146" t="str">
        <f t="shared" si="20"/>
        <v>NA</v>
      </c>
      <c r="E87" s="68"/>
    </row>
    <row r="88" spans="1:8" ht="12.75" x14ac:dyDescent="0.2">
      <c r="A88" s="355" t="str">
        <f t="shared" si="14"/>
        <v>Aerial Gunnery Instructor (AGI) Aircrewmen</v>
      </c>
      <c r="B88" s="146" t="str">
        <f t="shared" si="20"/>
        <v>NA</v>
      </c>
      <c r="C88" s="146" t="str">
        <f t="shared" si="20"/>
        <v>NA</v>
      </c>
      <c r="D88" s="146" t="str">
        <f t="shared" si="20"/>
        <v>NA</v>
      </c>
      <c r="E88" s="68"/>
    </row>
    <row r="89" spans="1:8" ht="12.75" x14ac:dyDescent="0.2">
      <c r="A89" s="355" t="str">
        <f t="shared" si="14"/>
        <v>Aerial Gunner (AG) Aircrewmen</v>
      </c>
      <c r="B89" s="146">
        <f t="shared" si="20"/>
        <v>4</v>
      </c>
      <c r="C89" s="146">
        <f t="shared" si="20"/>
        <v>2</v>
      </c>
      <c r="D89" s="146">
        <f t="shared" si="20"/>
        <v>2</v>
      </c>
      <c r="E89" s="68"/>
    </row>
    <row r="90" spans="1:8" ht="12.75" x14ac:dyDescent="0.2">
      <c r="A90" s="355" t="str">
        <f t="shared" si="14"/>
        <v>Mountain Flying School Aircrewmen</v>
      </c>
      <c r="B90" s="146">
        <f t="shared" si="20"/>
        <v>1</v>
      </c>
      <c r="C90" s="146">
        <f t="shared" si="20"/>
        <v>1</v>
      </c>
      <c r="D90" s="146">
        <f t="shared" si="20"/>
        <v>1</v>
      </c>
      <c r="E90" s="68"/>
    </row>
    <row r="91" spans="1:8" ht="12.75" x14ac:dyDescent="0.2">
      <c r="A91" s="355" t="str">
        <f t="shared" si="14"/>
        <v>≥ HM (Paramedic) Aircrewmen</v>
      </c>
      <c r="B91" s="146" t="str">
        <f t="shared" si="20"/>
        <v>NA</v>
      </c>
      <c r="C91" s="146" t="str">
        <f t="shared" si="20"/>
        <v>NA</v>
      </c>
      <c r="D91" s="146" t="str">
        <f t="shared" si="20"/>
        <v>NA</v>
      </c>
      <c r="E91" s="68"/>
    </row>
    <row r="92" spans="1:8" ht="12.75" x14ac:dyDescent="0.2">
      <c r="A92" s="355" t="str">
        <f t="shared" si="14"/>
        <v>Required Skilled Crews</v>
      </c>
      <c r="B92" s="146">
        <f t="shared" si="20"/>
        <v>2</v>
      </c>
      <c r="C92" s="146">
        <f t="shared" si="20"/>
        <v>1</v>
      </c>
      <c r="D92" s="146">
        <f t="shared" si="20"/>
        <v>1</v>
      </c>
      <c r="E92" s="68"/>
    </row>
    <row r="93" spans="1:8" x14ac:dyDescent="0.2">
      <c r="A93" s="68"/>
      <c r="B93" s="68"/>
      <c r="C93" s="68"/>
      <c r="E93" s="68"/>
      <c r="F93" s="68"/>
      <c r="G93" s="68"/>
      <c r="H93" s="62"/>
    </row>
    <row r="94" spans="1:8" x14ac:dyDescent="0.2">
      <c r="A94" s="68"/>
      <c r="B94" s="68"/>
      <c r="C94" s="68"/>
      <c r="E94" s="68"/>
      <c r="F94" s="68"/>
      <c r="G94" s="68"/>
      <c r="H94" s="62"/>
    </row>
    <row r="95" spans="1:8" x14ac:dyDescent="0.2">
      <c r="A95" s="68"/>
      <c r="B95" s="68"/>
      <c r="C95" s="68"/>
      <c r="E95" s="68"/>
      <c r="F95" s="68"/>
      <c r="G95" s="68"/>
      <c r="H95" s="62"/>
    </row>
    <row r="96" spans="1:8" x14ac:dyDescent="0.2">
      <c r="A96" s="68"/>
      <c r="B96" s="68"/>
      <c r="C96" s="68"/>
      <c r="E96" s="68"/>
      <c r="F96" s="68"/>
      <c r="G96" s="68"/>
      <c r="H96" s="62"/>
    </row>
    <row r="97" spans="1:22" ht="12.75" thickBot="1" x14ac:dyDescent="0.25">
      <c r="A97" s="68"/>
      <c r="B97" s="68"/>
      <c r="C97" s="68"/>
      <c r="E97" s="68"/>
      <c r="F97" s="68"/>
      <c r="G97" s="68"/>
      <c r="H97" s="62"/>
    </row>
    <row r="98" spans="1:22" ht="13.5" customHeight="1" thickBot="1" x14ac:dyDescent="0.25">
      <c r="A98" s="773" t="s">
        <v>170</v>
      </c>
      <c r="B98" s="774"/>
      <c r="C98" s="774"/>
      <c r="D98" s="775"/>
      <c r="E98" s="107"/>
      <c r="F98" s="107"/>
      <c r="G98" s="107"/>
      <c r="H98" s="107"/>
    </row>
    <row r="99" spans="1:22" x14ac:dyDescent="0.2">
      <c r="A99" s="111" t="s">
        <v>171</v>
      </c>
      <c r="B99" s="112">
        <f>MIN(100,B101+$B$105)</f>
        <v>100</v>
      </c>
      <c r="C99" s="167">
        <f t="shared" ref="C99" si="21">MIN(100,C101+$B$105)</f>
        <v>58.5</v>
      </c>
      <c r="D99" s="171">
        <f>MIN(100,D101+$B105)</f>
        <v>51.5</v>
      </c>
      <c r="E99" s="108"/>
      <c r="F99" s="108"/>
      <c r="G99" s="108"/>
      <c r="H99" s="108"/>
    </row>
    <row r="100" spans="1:22" x14ac:dyDescent="0.2">
      <c r="A100" s="54" t="s">
        <v>172</v>
      </c>
      <c r="B100" s="55">
        <f>MIN(100,B101+$B$106)</f>
        <v>100</v>
      </c>
      <c r="C100" s="168">
        <f t="shared" ref="C100" si="22">MIN(100,C101+$B$106)</f>
        <v>52</v>
      </c>
      <c r="D100" s="172">
        <f>MIN(100,D101+$B106)</f>
        <v>45</v>
      </c>
      <c r="E100" s="108"/>
      <c r="F100" s="108"/>
      <c r="G100" s="108"/>
      <c r="H100" s="108"/>
    </row>
    <row r="101" spans="1:22" x14ac:dyDescent="0.2">
      <c r="A101" s="54" t="s">
        <v>173</v>
      </c>
      <c r="B101" s="69">
        <v>100</v>
      </c>
      <c r="C101" s="169">
        <v>37</v>
      </c>
      <c r="D101" s="173">
        <v>30</v>
      </c>
      <c r="E101" s="109"/>
      <c r="F101" s="109"/>
      <c r="G101" s="109"/>
      <c r="H101" s="109"/>
      <c r="I101" s="100"/>
      <c r="J101" s="100"/>
      <c r="K101" s="100"/>
      <c r="L101" s="100"/>
      <c r="M101" s="100"/>
      <c r="O101" s="100"/>
    </row>
    <row r="102" spans="1:22" s="72" customFormat="1" x14ac:dyDescent="0.2">
      <c r="A102" s="54" t="s">
        <v>174</v>
      </c>
      <c r="B102" s="55">
        <f>MIN(80,IF(B$13="Deploy",80,MAX(0,B101-$B$106)))</f>
        <v>80</v>
      </c>
      <c r="C102" s="168">
        <f>MIN(80,IF(C$13="Deploy",80,MAX(0,C101-$B$106)))</f>
        <v>22</v>
      </c>
      <c r="D102" s="172">
        <f>MIN(80,IF(D$13="Deploy",80,MAX(0,D101-$B106)))</f>
        <v>15</v>
      </c>
      <c r="E102" s="108"/>
      <c r="F102" s="108"/>
      <c r="G102" s="108"/>
      <c r="H102" s="108"/>
      <c r="I102" s="28"/>
      <c r="J102" s="28"/>
      <c r="K102" s="28"/>
      <c r="L102" s="28"/>
      <c r="M102" s="28"/>
      <c r="O102" s="28"/>
      <c r="P102" s="28"/>
      <c r="Q102" s="28"/>
      <c r="R102" s="28"/>
      <c r="S102" s="28"/>
      <c r="T102" s="28"/>
      <c r="U102" s="28"/>
      <c r="V102" s="28"/>
    </row>
    <row r="103" spans="1:22" s="72" customFormat="1" ht="12.75" thickBot="1" x14ac:dyDescent="0.25">
      <c r="A103" s="57" t="s">
        <v>175</v>
      </c>
      <c r="B103" s="58">
        <f>MIN(60,IF(B$13="Deploy",60,MAX(0,B101-$B$105)))</f>
        <v>60</v>
      </c>
      <c r="C103" s="170">
        <f>MIN(60,IF(C$13="Deploy",60,MAX(0,C101-$B$105)))</f>
        <v>15.5</v>
      </c>
      <c r="D103" s="174">
        <f>MIN(80,IF(D$13="Deploy",60,MAX(0,D101-$B105)))</f>
        <v>8.5</v>
      </c>
      <c r="E103" s="108"/>
      <c r="F103" s="108"/>
      <c r="G103" s="108"/>
      <c r="H103" s="108"/>
      <c r="I103" s="28"/>
      <c r="J103" s="28"/>
      <c r="K103" s="28"/>
      <c r="L103" s="28"/>
      <c r="M103" s="28"/>
      <c r="O103" s="28"/>
      <c r="P103" s="28"/>
      <c r="Q103" s="28"/>
      <c r="R103" s="28"/>
      <c r="S103" s="28"/>
      <c r="T103" s="28"/>
      <c r="U103" s="28"/>
      <c r="V103" s="28"/>
    </row>
    <row r="104" spans="1:22" s="72" customFormat="1" ht="12.75" thickBot="1" x14ac:dyDescent="0.25">
      <c r="A104" s="219" t="s">
        <v>176</v>
      </c>
      <c r="B104" s="220">
        <v>100</v>
      </c>
      <c r="C104" s="221">
        <v>37</v>
      </c>
      <c r="D104" s="222">
        <v>30</v>
      </c>
      <c r="E104" s="108"/>
      <c r="F104" s="108"/>
      <c r="G104" s="108"/>
      <c r="H104" s="108"/>
      <c r="I104" s="28"/>
      <c r="J104" s="28"/>
      <c r="K104" s="28"/>
      <c r="L104" s="28"/>
      <c r="M104" s="28"/>
      <c r="O104" s="28"/>
      <c r="P104" s="28"/>
      <c r="Q104" s="28"/>
      <c r="R104" s="28"/>
      <c r="S104" s="28"/>
      <c r="T104" s="28"/>
      <c r="U104" s="28"/>
      <c r="V104" s="28"/>
    </row>
    <row r="105" spans="1:22" s="72" customFormat="1" x14ac:dyDescent="0.2">
      <c r="A105" s="78" t="s">
        <v>177</v>
      </c>
      <c r="B105" s="79">
        <v>21.5</v>
      </c>
      <c r="C105" s="28"/>
      <c r="D105" s="61"/>
      <c r="E105" s="28"/>
      <c r="F105" s="28"/>
      <c r="G105" s="28"/>
      <c r="H105" s="28"/>
      <c r="I105" s="28"/>
    </row>
    <row r="106" spans="1:22" s="72" customFormat="1" ht="12.75" thickBot="1" x14ac:dyDescent="0.25">
      <c r="A106" s="80" t="s">
        <v>178</v>
      </c>
      <c r="B106" s="81">
        <v>15</v>
      </c>
      <c r="C106" s="28"/>
      <c r="D106" s="61"/>
      <c r="E106" s="28"/>
      <c r="F106" s="28"/>
      <c r="G106" s="28"/>
      <c r="H106" s="28"/>
      <c r="I106" s="28"/>
    </row>
    <row r="107" spans="1:22" s="72" customFormat="1" ht="12.75" thickBot="1" x14ac:dyDescent="0.25">
      <c r="A107" s="40"/>
      <c r="B107" s="40"/>
      <c r="C107" s="40"/>
      <c r="D107" s="61"/>
      <c r="E107" s="40"/>
      <c r="F107" s="40"/>
      <c r="G107" s="40"/>
      <c r="H107" s="40"/>
      <c r="I107" s="28"/>
    </row>
    <row r="108" spans="1:22" s="72" customFormat="1" ht="12.75" thickBot="1" x14ac:dyDescent="0.25">
      <c r="A108" s="776" t="s">
        <v>179</v>
      </c>
      <c r="B108" s="777"/>
      <c r="C108" s="28"/>
      <c r="D108" s="61"/>
      <c r="E108" s="61"/>
      <c r="F108" s="61"/>
      <c r="G108" s="61"/>
      <c r="H108" s="61"/>
      <c r="I108" s="28"/>
    </row>
    <row r="109" spans="1:22" s="72" customFormat="1" ht="12.75" thickBot="1" x14ac:dyDescent="0.25">
      <c r="A109" s="787" t="s">
        <v>180</v>
      </c>
      <c r="B109" s="788"/>
      <c r="C109" s="28"/>
      <c r="D109" s="61"/>
      <c r="E109" s="61"/>
      <c r="F109" s="61"/>
      <c r="G109" s="61"/>
      <c r="H109" s="61"/>
      <c r="I109" s="28"/>
    </row>
    <row r="110" spans="1:22" s="72" customFormat="1" ht="12.75" thickTop="1" x14ac:dyDescent="0.2">
      <c r="A110" s="281" t="s">
        <v>181</v>
      </c>
      <c r="B110" s="119">
        <v>4</v>
      </c>
      <c r="C110" s="28"/>
      <c r="D110" s="60"/>
      <c r="E110" s="469"/>
      <c r="F110" s="469"/>
      <c r="G110" s="28"/>
      <c r="H110" s="28"/>
      <c r="I110" s="28"/>
    </row>
    <row r="111" spans="1:22" s="72" customFormat="1" x14ac:dyDescent="0.2">
      <c r="A111" s="282" t="s">
        <v>182</v>
      </c>
      <c r="B111" s="91">
        <v>4</v>
      </c>
      <c r="C111" s="28"/>
      <c r="D111" s="60"/>
      <c r="E111" s="469"/>
      <c r="F111" s="469"/>
      <c r="G111" s="28"/>
      <c r="H111" s="28"/>
      <c r="I111" s="28"/>
    </row>
    <row r="112" spans="1:22" s="72" customFormat="1" x14ac:dyDescent="0.2">
      <c r="A112" s="282" t="s">
        <v>183</v>
      </c>
      <c r="B112" s="89" t="s">
        <v>193</v>
      </c>
      <c r="C112" s="28"/>
      <c r="D112" s="60"/>
      <c r="E112" s="469"/>
      <c r="F112" s="469"/>
      <c r="G112" s="28"/>
      <c r="H112" s="61"/>
      <c r="I112" s="28"/>
    </row>
    <row r="113" spans="1:9" s="72" customFormat="1" x14ac:dyDescent="0.2">
      <c r="A113" s="282" t="s">
        <v>184</v>
      </c>
      <c r="B113" s="91" t="s">
        <v>193</v>
      </c>
      <c r="C113" s="28"/>
      <c r="D113" s="60"/>
      <c r="E113" s="469"/>
      <c r="F113" s="469"/>
      <c r="G113" s="28"/>
      <c r="H113" s="28"/>
      <c r="I113" s="28"/>
    </row>
    <row r="114" spans="1:9" s="72" customFormat="1" x14ac:dyDescent="0.2">
      <c r="A114" s="282" t="s">
        <v>185</v>
      </c>
      <c r="B114" s="120">
        <v>1</v>
      </c>
      <c r="C114" s="28"/>
      <c r="D114" s="62"/>
      <c r="E114" s="469"/>
      <c r="F114" s="469"/>
      <c r="G114" s="61"/>
      <c r="H114" s="61"/>
      <c r="I114" s="28"/>
    </row>
    <row r="115" spans="1:9" s="72" customFormat="1" x14ac:dyDescent="0.2">
      <c r="A115" s="282" t="s">
        <v>186</v>
      </c>
      <c r="B115" s="120">
        <v>2</v>
      </c>
      <c r="C115" s="28"/>
      <c r="D115" s="62"/>
      <c r="E115" s="469"/>
      <c r="F115" s="469"/>
      <c r="G115" s="61"/>
      <c r="H115" s="61"/>
      <c r="I115" s="28"/>
    </row>
    <row r="116" spans="1:9" s="72" customFormat="1" x14ac:dyDescent="0.2">
      <c r="A116" s="282" t="s">
        <v>187</v>
      </c>
      <c r="B116" s="120">
        <v>4</v>
      </c>
      <c r="C116" s="28"/>
      <c r="D116" s="62"/>
      <c r="E116" s="469"/>
      <c r="F116" s="469"/>
      <c r="G116" s="61"/>
      <c r="H116" s="28"/>
      <c r="I116" s="28"/>
    </row>
    <row r="117" spans="1:9" s="72" customFormat="1" x14ac:dyDescent="0.2">
      <c r="A117" s="282" t="s">
        <v>188</v>
      </c>
      <c r="B117" s="91" t="s">
        <v>193</v>
      </c>
      <c r="C117" s="28"/>
      <c r="D117" s="62"/>
      <c r="E117" s="469"/>
      <c r="F117" s="469"/>
      <c r="G117" s="61"/>
      <c r="H117" s="61"/>
      <c r="I117" s="28"/>
    </row>
    <row r="118" spans="1:9" s="72" customFormat="1" x14ac:dyDescent="0.2">
      <c r="A118" s="282" t="s">
        <v>189</v>
      </c>
      <c r="B118" s="91">
        <v>1</v>
      </c>
      <c r="C118" s="28"/>
      <c r="D118" s="62"/>
      <c r="E118" s="469"/>
      <c r="F118" s="469"/>
      <c r="G118" s="61"/>
      <c r="H118" s="61"/>
      <c r="I118" s="28"/>
    </row>
    <row r="119" spans="1:9" s="72" customFormat="1" x14ac:dyDescent="0.2">
      <c r="A119" s="282" t="s">
        <v>190</v>
      </c>
      <c r="B119" s="91">
        <v>1</v>
      </c>
      <c r="C119" s="28"/>
      <c r="D119" s="62"/>
      <c r="E119" s="469"/>
      <c r="F119" s="469"/>
      <c r="G119" s="61"/>
      <c r="H119" s="61"/>
      <c r="I119" s="28"/>
    </row>
    <row r="120" spans="1:9" s="72" customFormat="1" x14ac:dyDescent="0.2">
      <c r="A120" s="282" t="s">
        <v>191</v>
      </c>
      <c r="B120" s="91">
        <v>1</v>
      </c>
      <c r="C120" s="28"/>
      <c r="D120" s="62"/>
      <c r="E120" s="469"/>
      <c r="F120" s="469"/>
      <c r="G120" s="61"/>
      <c r="H120" s="28"/>
      <c r="I120" s="28"/>
    </row>
    <row r="121" spans="1:9" s="72" customFormat="1" x14ac:dyDescent="0.2">
      <c r="A121" s="282" t="s">
        <v>192</v>
      </c>
      <c r="B121" s="91" t="s">
        <v>193</v>
      </c>
      <c r="C121" s="28"/>
      <c r="D121" s="62"/>
      <c r="E121" s="469"/>
      <c r="F121" s="469"/>
      <c r="G121" s="61"/>
      <c r="H121" s="61"/>
      <c r="I121" s="28"/>
    </row>
    <row r="122" spans="1:9" s="72" customFormat="1" x14ac:dyDescent="0.2">
      <c r="A122" s="282" t="s">
        <v>194</v>
      </c>
      <c r="B122" s="89" t="s">
        <v>193</v>
      </c>
      <c r="C122" s="28"/>
      <c r="D122" s="62"/>
      <c r="E122" s="469"/>
      <c r="F122" s="469"/>
      <c r="G122" s="61"/>
      <c r="H122" s="61"/>
      <c r="I122" s="28"/>
    </row>
    <row r="123" spans="1:9" s="72" customFormat="1" x14ac:dyDescent="0.2">
      <c r="A123" s="282" t="s">
        <v>195</v>
      </c>
      <c r="B123" s="89" t="s">
        <v>193</v>
      </c>
      <c r="C123" s="28"/>
      <c r="D123" s="62"/>
      <c r="E123" s="469"/>
      <c r="F123" s="469"/>
      <c r="G123" s="61"/>
      <c r="H123" s="61"/>
      <c r="I123" s="28"/>
    </row>
    <row r="124" spans="1:9" s="72" customFormat="1" x14ac:dyDescent="0.2">
      <c r="A124" s="282" t="s">
        <v>196</v>
      </c>
      <c r="B124" s="89" t="s">
        <v>193</v>
      </c>
      <c r="C124" s="28"/>
      <c r="D124" s="28"/>
      <c r="E124" s="469"/>
      <c r="F124" s="469"/>
      <c r="G124" s="28"/>
      <c r="H124" s="28"/>
      <c r="I124" s="28"/>
    </row>
    <row r="125" spans="1:9" s="72" customFormat="1" x14ac:dyDescent="0.2">
      <c r="A125" s="282" t="s">
        <v>197</v>
      </c>
      <c r="B125" s="89" t="s">
        <v>193</v>
      </c>
      <c r="C125" s="28"/>
      <c r="D125" s="28"/>
      <c r="E125" s="469"/>
      <c r="F125" s="469"/>
      <c r="G125" s="28"/>
      <c r="H125" s="28"/>
      <c r="I125" s="28"/>
    </row>
    <row r="126" spans="1:9" s="72" customFormat="1" x14ac:dyDescent="0.2">
      <c r="A126" s="282" t="s">
        <v>198</v>
      </c>
      <c r="B126" s="89">
        <v>1</v>
      </c>
      <c r="C126" s="28"/>
      <c r="D126" s="28"/>
      <c r="E126" s="469"/>
      <c r="F126" s="469"/>
      <c r="G126" s="28"/>
      <c r="H126" s="28"/>
      <c r="I126" s="28"/>
    </row>
    <row r="127" spans="1:9" s="72" customFormat="1" x14ac:dyDescent="0.2">
      <c r="A127" s="282" t="s">
        <v>199</v>
      </c>
      <c r="B127" s="89">
        <v>4</v>
      </c>
      <c r="C127" s="28"/>
      <c r="D127" s="28"/>
      <c r="E127" s="469"/>
      <c r="F127" s="469"/>
      <c r="G127" s="28"/>
      <c r="H127" s="28"/>
      <c r="I127" s="28"/>
    </row>
    <row r="128" spans="1:9" s="72" customFormat="1" x14ac:dyDescent="0.2">
      <c r="A128" s="282" t="s">
        <v>200</v>
      </c>
      <c r="B128" s="89">
        <v>4</v>
      </c>
      <c r="C128" s="28"/>
      <c r="D128" s="28"/>
      <c r="E128" s="469"/>
      <c r="F128" s="469"/>
      <c r="G128" s="28"/>
      <c r="H128" s="28"/>
      <c r="I128" s="28"/>
    </row>
    <row r="129" spans="1:15" s="72" customFormat="1" x14ac:dyDescent="0.2">
      <c r="A129" s="282" t="s">
        <v>201</v>
      </c>
      <c r="B129" s="89">
        <v>1</v>
      </c>
      <c r="C129" s="28"/>
      <c r="D129" s="28"/>
      <c r="E129" s="469"/>
      <c r="F129" s="469"/>
      <c r="G129" s="28"/>
      <c r="H129" s="28"/>
      <c r="I129" s="28"/>
    </row>
    <row r="130" spans="1:15" s="72" customFormat="1" x14ac:dyDescent="0.2">
      <c r="A130" s="282" t="s">
        <v>202</v>
      </c>
      <c r="B130" s="89">
        <v>4</v>
      </c>
      <c r="C130" s="28"/>
      <c r="D130" s="28"/>
      <c r="E130" s="469"/>
      <c r="F130" s="469"/>
      <c r="G130" s="28"/>
      <c r="H130" s="28"/>
      <c r="I130" s="28"/>
    </row>
    <row r="131" spans="1:15" s="72" customFormat="1" x14ac:dyDescent="0.2">
      <c r="A131" s="282" t="s">
        <v>203</v>
      </c>
      <c r="B131" s="89">
        <v>4</v>
      </c>
      <c r="C131" s="28"/>
      <c r="D131" s="28"/>
      <c r="E131" s="469"/>
      <c r="F131" s="469"/>
      <c r="G131" s="28"/>
      <c r="H131" s="28"/>
      <c r="I131" s="28"/>
    </row>
    <row r="132" spans="1:15" s="72" customFormat="1" x14ac:dyDescent="0.2">
      <c r="A132" s="282" t="s">
        <v>204</v>
      </c>
      <c r="B132" s="89">
        <v>1</v>
      </c>
      <c r="C132" s="28"/>
      <c r="D132" s="28"/>
      <c r="E132" s="469"/>
      <c r="F132" s="469"/>
      <c r="G132" s="28"/>
      <c r="H132" s="28"/>
      <c r="I132" s="28"/>
    </row>
    <row r="133" spans="1:15" s="72" customFormat="1" x14ac:dyDescent="0.2">
      <c r="A133" s="282" t="s">
        <v>205</v>
      </c>
      <c r="B133" s="89" t="s">
        <v>193</v>
      </c>
      <c r="C133" s="28"/>
      <c r="D133" s="28"/>
      <c r="E133" s="469"/>
      <c r="F133" s="469"/>
      <c r="G133" s="28"/>
      <c r="H133" s="28"/>
      <c r="I133" s="28"/>
    </row>
    <row r="134" spans="1:15" s="72" customFormat="1" x14ac:dyDescent="0.2">
      <c r="A134" s="282" t="s">
        <v>206</v>
      </c>
      <c r="B134" s="89" t="s">
        <v>193</v>
      </c>
      <c r="C134" s="28"/>
      <c r="D134" s="28"/>
      <c r="E134" s="469"/>
      <c r="F134" s="469"/>
      <c r="G134" s="28"/>
      <c r="H134" s="28"/>
      <c r="I134" s="28"/>
    </row>
    <row r="135" spans="1:15" s="68" customFormat="1" x14ac:dyDescent="0.2">
      <c r="A135" s="282" t="s">
        <v>207</v>
      </c>
      <c r="B135" s="89" t="s">
        <v>193</v>
      </c>
      <c r="C135" s="40"/>
      <c r="D135" s="40"/>
      <c r="E135" s="469"/>
      <c r="F135" s="469"/>
      <c r="G135" s="40"/>
      <c r="H135" s="40"/>
      <c r="I135" s="40"/>
    </row>
    <row r="136" spans="1:15" s="68" customFormat="1" x14ac:dyDescent="0.2">
      <c r="A136" s="282" t="s">
        <v>208</v>
      </c>
      <c r="B136" s="89" t="s">
        <v>193</v>
      </c>
      <c r="C136" s="40"/>
      <c r="D136" s="40"/>
      <c r="E136" s="469"/>
      <c r="F136" s="469"/>
      <c r="G136" s="40"/>
      <c r="H136" s="40"/>
      <c r="I136" s="40"/>
    </row>
    <row r="137" spans="1:15" s="68" customFormat="1" x14ac:dyDescent="0.2">
      <c r="A137" s="282" t="s">
        <v>209</v>
      </c>
      <c r="B137" s="89" t="s">
        <v>193</v>
      </c>
      <c r="C137" s="40"/>
      <c r="D137" s="40"/>
      <c r="E137" s="469"/>
      <c r="F137" s="469"/>
      <c r="G137" s="40"/>
      <c r="H137" s="40"/>
      <c r="I137" s="40"/>
    </row>
    <row r="138" spans="1:15" s="68" customFormat="1" x14ac:dyDescent="0.2">
      <c r="A138" s="282" t="s">
        <v>210</v>
      </c>
      <c r="B138" s="89">
        <v>4</v>
      </c>
      <c r="C138" s="40"/>
      <c r="D138" s="40"/>
      <c r="E138" s="469"/>
      <c r="F138" s="469"/>
      <c r="G138" s="40"/>
      <c r="H138" s="40"/>
      <c r="I138" s="40"/>
    </row>
    <row r="139" spans="1:15" s="68" customFormat="1" x14ac:dyDescent="0.2">
      <c r="A139" s="282" t="s">
        <v>211</v>
      </c>
      <c r="B139" s="89">
        <v>1</v>
      </c>
      <c r="C139" s="40"/>
      <c r="D139" s="40"/>
      <c r="E139" s="469"/>
      <c r="F139" s="469"/>
      <c r="G139" s="40"/>
      <c r="H139" s="40"/>
      <c r="I139" s="40"/>
    </row>
    <row r="140" spans="1:15" s="68" customFormat="1" x14ac:dyDescent="0.2">
      <c r="A140" s="282" t="s">
        <v>212</v>
      </c>
      <c r="B140" s="89" t="s">
        <v>193</v>
      </c>
      <c r="C140" s="40"/>
      <c r="D140" s="40"/>
      <c r="E140" s="469"/>
      <c r="F140" s="469"/>
      <c r="G140" s="40"/>
      <c r="H140" s="40"/>
      <c r="I140" s="40"/>
    </row>
    <row r="141" spans="1:15" s="68" customFormat="1" ht="12.75" thickBot="1" x14ac:dyDescent="0.25">
      <c r="A141" s="453" t="s">
        <v>213</v>
      </c>
      <c r="B141" s="93">
        <v>2</v>
      </c>
      <c r="C141" s="40"/>
      <c r="D141" s="40"/>
      <c r="E141" s="469"/>
      <c r="F141" s="469"/>
      <c r="G141" s="40"/>
      <c r="H141" s="40"/>
      <c r="I141" s="40"/>
    </row>
    <row r="142" spans="1:15" s="68" customFormat="1" ht="12.75" thickBot="1" x14ac:dyDescent="0.25">
      <c r="A142" s="121"/>
      <c r="B142" s="122"/>
      <c r="C142" s="40"/>
      <c r="D142" s="40"/>
      <c r="E142" s="40"/>
      <c r="F142" s="40"/>
      <c r="G142" s="40"/>
      <c r="H142" s="40"/>
      <c r="I142" s="40"/>
    </row>
    <row r="143" spans="1:15" s="72" customFormat="1" ht="13.5" thickBot="1" x14ac:dyDescent="0.25">
      <c r="A143" s="738" t="s">
        <v>214</v>
      </c>
      <c r="B143" s="739"/>
      <c r="C143" s="105"/>
      <c r="D143" s="105"/>
      <c r="E143" s="105"/>
      <c r="F143" s="105"/>
      <c r="G143" s="105"/>
      <c r="H143" s="105"/>
      <c r="I143" s="105"/>
      <c r="J143" s="105"/>
      <c r="K143" s="105"/>
      <c r="L143" s="105"/>
      <c r="M143" s="105"/>
    </row>
    <row r="144" spans="1:15" s="72" customFormat="1" x14ac:dyDescent="0.2">
      <c r="A144" s="126" t="s">
        <v>215</v>
      </c>
      <c r="B144" s="127"/>
      <c r="C144" s="127" t="s">
        <v>216</v>
      </c>
      <c r="D144" s="130" t="s">
        <v>216</v>
      </c>
      <c r="E144" s="123"/>
      <c r="F144" s="123"/>
      <c r="G144" s="123"/>
      <c r="H144" s="123"/>
      <c r="I144" s="123"/>
      <c r="J144" s="123"/>
      <c r="K144" s="123"/>
      <c r="L144" s="123"/>
      <c r="M144" s="123"/>
      <c r="N144" s="123"/>
      <c r="O144" s="62"/>
    </row>
    <row r="145" spans="1:15" s="72" customFormat="1" ht="12.75" thickBot="1" x14ac:dyDescent="0.25">
      <c r="A145" s="128" t="s">
        <v>217</v>
      </c>
      <c r="B145" s="129" t="s">
        <v>216</v>
      </c>
      <c r="C145" s="129"/>
      <c r="D145" s="131"/>
      <c r="E145" s="123"/>
      <c r="F145" s="123"/>
      <c r="G145" s="123"/>
      <c r="H145" s="123"/>
      <c r="I145" s="123"/>
      <c r="J145" s="123"/>
      <c r="K145" s="123"/>
      <c r="L145" s="123"/>
      <c r="M145" s="123"/>
      <c r="N145" s="123"/>
      <c r="O145" s="62"/>
    </row>
    <row r="146" spans="1:15" s="72" customFormat="1" ht="12.75" thickBot="1" x14ac:dyDescent="0.25">
      <c r="A146" s="121"/>
      <c r="B146" s="123"/>
      <c r="C146" s="28"/>
      <c r="D146" s="28"/>
      <c r="E146" s="61"/>
      <c r="F146" s="61"/>
      <c r="G146" s="61"/>
      <c r="H146" s="61"/>
      <c r="I146" s="61"/>
      <c r="J146" s="62"/>
      <c r="K146" s="62"/>
      <c r="L146" s="62"/>
      <c r="M146" s="62"/>
      <c r="N146" s="62"/>
      <c r="O146" s="62"/>
    </row>
    <row r="147" spans="1:15" s="72" customFormat="1" ht="13.5" thickBot="1" x14ac:dyDescent="0.25">
      <c r="A147" s="551" t="s">
        <v>258</v>
      </c>
      <c r="B147" s="740" t="s">
        <v>220</v>
      </c>
      <c r="C147" s="741"/>
      <c r="D147" s="742" t="s">
        <v>221</v>
      </c>
      <c r="E147" s="743"/>
      <c r="F147" s="744" t="s">
        <v>222</v>
      </c>
      <c r="G147" s="745"/>
      <c r="H147" s="28"/>
      <c r="I147" s="240" t="s">
        <v>223</v>
      </c>
      <c r="N147" s="28"/>
    </row>
    <row r="148" spans="1:15" ht="13.5" thickBot="1" x14ac:dyDescent="0.25">
      <c r="A148" s="553" t="s">
        <v>224</v>
      </c>
      <c r="B148" s="297"/>
      <c r="C148" s="297"/>
      <c r="D148" s="297"/>
      <c r="E148" s="297"/>
      <c r="F148" s="297"/>
      <c r="G148" s="298"/>
      <c r="I148" s="241" t="s">
        <v>62</v>
      </c>
    </row>
    <row r="149" spans="1:15" x14ac:dyDescent="0.2">
      <c r="A149" s="555" t="s">
        <v>225</v>
      </c>
      <c r="B149" s="233">
        <v>1</v>
      </c>
      <c r="C149" s="233"/>
      <c r="D149" s="234"/>
      <c r="E149" s="234"/>
      <c r="F149" s="235"/>
      <c r="G149" s="236">
        <v>0</v>
      </c>
    </row>
    <row r="150" spans="1:15" ht="12.75" thickBot="1" x14ac:dyDescent="0.25">
      <c r="A150" s="555" t="s">
        <v>226</v>
      </c>
      <c r="B150" s="228">
        <v>1</v>
      </c>
      <c r="C150" s="228"/>
      <c r="D150" s="230"/>
      <c r="E150" s="230"/>
      <c r="F150" s="231"/>
      <c r="G150" s="232">
        <v>0</v>
      </c>
    </row>
    <row r="151" spans="1:15" ht="12.75" thickBot="1" x14ac:dyDescent="0.25">
      <c r="A151" s="553" t="str">
        <f t="shared" ref="A151:A172" si="23">A38</f>
        <v>Integrated Mission Systems</v>
      </c>
      <c r="B151" s="297"/>
      <c r="C151" s="297"/>
      <c r="D151" s="297"/>
      <c r="E151" s="297"/>
      <c r="F151" s="297"/>
      <c r="G151" s="298"/>
    </row>
    <row r="152" spans="1:15" x14ac:dyDescent="0.2">
      <c r="A152" s="556" t="str">
        <f t="shared" si="23"/>
        <v>Ready MH-60S Cargo Transport Mission Systems (C)</v>
      </c>
      <c r="B152" s="233">
        <f>$B$150</f>
        <v>1</v>
      </c>
      <c r="C152" s="233"/>
      <c r="D152" s="299"/>
      <c r="E152" s="299"/>
      <c r="F152" s="300"/>
      <c r="G152" s="301">
        <v>0</v>
      </c>
    </row>
    <row r="153" spans="1:15" x14ac:dyDescent="0.2">
      <c r="A153" s="555" t="str">
        <f t="shared" si="23"/>
        <v>Ready MH-60S Airborne Mine Counter Measures (AMCM) Mission Systems (D)</v>
      </c>
      <c r="B153" s="224" t="s">
        <v>227</v>
      </c>
      <c r="C153" s="224"/>
      <c r="D153" s="225"/>
      <c r="E153" s="225"/>
      <c r="F153" s="226"/>
      <c r="G153" s="227"/>
    </row>
    <row r="154" spans="1:15" x14ac:dyDescent="0.2">
      <c r="A154" s="555" t="str">
        <f t="shared" si="23"/>
        <v>Ready MH-60S Active/Passive Countermeasures Mission Systems (E)</v>
      </c>
      <c r="B154" s="224">
        <f>$B$150</f>
        <v>1</v>
      </c>
      <c r="C154" s="224"/>
      <c r="D154" s="225"/>
      <c r="E154" s="225"/>
      <c r="F154" s="226"/>
      <c r="G154" s="232">
        <v>0</v>
      </c>
    </row>
    <row r="155" spans="1:15" x14ac:dyDescent="0.2">
      <c r="A155" s="555" t="str">
        <f t="shared" si="23"/>
        <v>Ready MH-60S CSAR, SUW, and Spec Warfare Mission Systems (F)</v>
      </c>
      <c r="B155" s="224">
        <f>$B$150</f>
        <v>1</v>
      </c>
      <c r="C155" s="224"/>
      <c r="D155" s="225"/>
      <c r="E155" s="225"/>
      <c r="F155" s="226"/>
      <c r="G155" s="232">
        <v>0</v>
      </c>
    </row>
    <row r="156" spans="1:15" x14ac:dyDescent="0.2">
      <c r="A156" s="555" t="str">
        <f t="shared" si="23"/>
        <v>Ready MH-60S Personnel Transport Mission Systems (G)</v>
      </c>
      <c r="B156" s="224">
        <f>$B$150</f>
        <v>1</v>
      </c>
      <c r="C156" s="224"/>
      <c r="D156" s="225"/>
      <c r="E156" s="225"/>
      <c r="F156" s="226"/>
      <c r="G156" s="232">
        <v>0</v>
      </c>
    </row>
    <row r="157" spans="1:15" x14ac:dyDescent="0.2">
      <c r="A157" s="555" t="str">
        <f t="shared" si="23"/>
        <v>Ready MH-60S SAR\MEDIVAC Mission Systems (H)</v>
      </c>
      <c r="B157" s="224">
        <f>$B$150</f>
        <v>1</v>
      </c>
      <c r="C157" s="224"/>
      <c r="D157" s="225"/>
      <c r="E157" s="225"/>
      <c r="F157" s="226"/>
      <c r="G157" s="232">
        <v>0</v>
      </c>
    </row>
    <row r="158" spans="1:15" x14ac:dyDescent="0.2">
      <c r="A158" s="555" t="str">
        <f t="shared" si="23"/>
        <v>Ready MH-60S Mission Support Systems (I)</v>
      </c>
      <c r="B158" s="224" t="s">
        <v>227</v>
      </c>
      <c r="C158" s="224"/>
      <c r="D158" s="225"/>
      <c r="E158" s="225"/>
      <c r="F158" s="226"/>
      <c r="G158" s="232"/>
    </row>
    <row r="159" spans="1:15" x14ac:dyDescent="0.2">
      <c r="A159" s="555" t="str">
        <f t="shared" si="23"/>
        <v>Ready MH-60S Fixed Forward Firing Systems (J)</v>
      </c>
      <c r="B159" s="224">
        <f>$B$150</f>
        <v>1</v>
      </c>
      <c r="C159" s="224"/>
      <c r="D159" s="225"/>
      <c r="E159" s="225"/>
      <c r="F159" s="226"/>
      <c r="G159" s="227">
        <v>0</v>
      </c>
    </row>
    <row r="160" spans="1:15" x14ac:dyDescent="0.2">
      <c r="A160" s="555" t="str">
        <f t="shared" si="23"/>
        <v>Ready MH-60S Shipboard Mission Systems (K)</v>
      </c>
      <c r="B160" s="224">
        <f>$B$150</f>
        <v>1</v>
      </c>
      <c r="C160" s="224"/>
      <c r="D160" s="225"/>
      <c r="E160" s="225"/>
      <c r="F160" s="226"/>
      <c r="G160" s="227">
        <v>0</v>
      </c>
    </row>
    <row r="161" spans="1:7" ht="12.75" thickBot="1" x14ac:dyDescent="0.25">
      <c r="A161" s="555" t="str">
        <f t="shared" si="23"/>
        <v>Ready MH-60S IMC Flight Mission Systems (L)</v>
      </c>
      <c r="B161" s="224">
        <f>$B$150</f>
        <v>1</v>
      </c>
      <c r="C161" s="224"/>
      <c r="D161" s="225"/>
      <c r="E161" s="225"/>
      <c r="F161" s="226"/>
      <c r="G161" s="227">
        <v>0</v>
      </c>
    </row>
    <row r="162" spans="1:7" ht="12.75" thickBot="1" x14ac:dyDescent="0.25">
      <c r="A162" s="553" t="str">
        <f t="shared" si="23"/>
        <v>Non-Integrated Mission Systems</v>
      </c>
      <c r="B162" s="297"/>
      <c r="C162" s="297"/>
      <c r="D162" s="297"/>
      <c r="E162" s="297"/>
      <c r="F162" s="297"/>
      <c r="G162" s="298"/>
    </row>
    <row r="163" spans="1:7" x14ac:dyDescent="0.2">
      <c r="A163" s="557" t="str">
        <f t="shared" si="23"/>
        <v>Assigned M-299 Sets</v>
      </c>
      <c r="B163" s="233" t="s">
        <v>227</v>
      </c>
      <c r="C163" s="224"/>
      <c r="D163" s="234"/>
      <c r="E163" s="234"/>
      <c r="F163" s="235"/>
      <c r="G163" s="302"/>
    </row>
    <row r="164" spans="1:7" x14ac:dyDescent="0.2">
      <c r="A164" s="558" t="str">
        <f t="shared" si="23"/>
        <v>Ready M-299 Sets</v>
      </c>
      <c r="B164" s="224" t="s">
        <v>227</v>
      </c>
      <c r="C164" s="224"/>
      <c r="D164" s="225"/>
      <c r="E164" s="225"/>
      <c r="F164" s="226"/>
      <c r="G164" s="295"/>
    </row>
    <row r="165" spans="1:7" x14ac:dyDescent="0.2">
      <c r="A165" s="558" t="str">
        <f t="shared" si="23"/>
        <v>Assigned 20-mm Sets</v>
      </c>
      <c r="B165" s="224" t="s">
        <v>227</v>
      </c>
      <c r="C165" s="224"/>
      <c r="D165" s="225"/>
      <c r="E165" s="225"/>
      <c r="F165" s="226"/>
      <c r="G165" s="295"/>
    </row>
    <row r="166" spans="1:7" x14ac:dyDescent="0.2">
      <c r="A166" s="558" t="str">
        <f t="shared" si="23"/>
        <v>Ready 20-mm Sets</v>
      </c>
      <c r="B166" s="224" t="s">
        <v>227</v>
      </c>
      <c r="C166" s="224"/>
      <c r="D166" s="225"/>
      <c r="E166" s="225"/>
      <c r="F166" s="226"/>
      <c r="G166" s="295"/>
    </row>
    <row r="167" spans="1:7" x14ac:dyDescent="0.2">
      <c r="A167" s="558" t="str">
        <f t="shared" si="23"/>
        <v>Assigned GAU-21 Sets</v>
      </c>
      <c r="B167" s="233" t="s">
        <v>227</v>
      </c>
      <c r="C167" s="224"/>
      <c r="D167" s="234"/>
      <c r="E167" s="234"/>
      <c r="F167" s="235"/>
      <c r="G167" s="302"/>
    </row>
    <row r="168" spans="1:7" x14ac:dyDescent="0.2">
      <c r="A168" s="558" t="str">
        <f t="shared" si="23"/>
        <v>Ready GAU-21 Sets</v>
      </c>
      <c r="B168" s="224" t="s">
        <v>227</v>
      </c>
      <c r="C168" s="224"/>
      <c r="D168" s="225"/>
      <c r="E168" s="225"/>
      <c r="F168" s="226"/>
      <c r="G168" s="295"/>
    </row>
    <row r="169" spans="1:7" x14ac:dyDescent="0.2">
      <c r="A169" s="558" t="str">
        <f t="shared" si="23"/>
        <v>Assigned M-240 Sets</v>
      </c>
      <c r="B169" s="233">
        <v>3</v>
      </c>
      <c r="C169" s="224"/>
      <c r="D169" s="234">
        <v>2</v>
      </c>
      <c r="E169" s="234"/>
      <c r="F169" s="235">
        <v>1</v>
      </c>
      <c r="G169" s="302">
        <v>0</v>
      </c>
    </row>
    <row r="170" spans="1:7" x14ac:dyDescent="0.2">
      <c r="A170" s="558" t="str">
        <f t="shared" si="23"/>
        <v>Ready M-240 Sets</v>
      </c>
      <c r="B170" s="224">
        <v>3</v>
      </c>
      <c r="C170" s="224">
        <v>2</v>
      </c>
      <c r="D170" s="225">
        <v>1</v>
      </c>
      <c r="E170" s="225"/>
      <c r="F170" s="226"/>
      <c r="G170" s="295">
        <v>0</v>
      </c>
    </row>
    <row r="171" spans="1:7" x14ac:dyDescent="0.2">
      <c r="A171" s="558" t="str">
        <f t="shared" si="23"/>
        <v>Assigned Full Motion Video Systems</v>
      </c>
      <c r="B171" s="224" t="s">
        <v>227</v>
      </c>
      <c r="C171" s="224"/>
      <c r="D171" s="225"/>
      <c r="E171" s="225"/>
      <c r="F171" s="226"/>
      <c r="G171" s="295"/>
    </row>
    <row r="172" spans="1:7" ht="12.75" thickBot="1" x14ac:dyDescent="0.25">
      <c r="A172" s="559" t="str">
        <f t="shared" si="23"/>
        <v>Ready Full Motion Video Systems</v>
      </c>
      <c r="B172" s="237" t="s">
        <v>227</v>
      </c>
      <c r="C172" s="237"/>
      <c r="D172" s="238"/>
      <c r="E172" s="238"/>
      <c r="F172" s="239"/>
      <c r="G172" s="296"/>
    </row>
    <row r="175" spans="1:7" x14ac:dyDescent="0.2">
      <c r="A175" s="631" t="s">
        <v>228</v>
      </c>
      <c r="B175" s="631" t="s">
        <v>259</v>
      </c>
    </row>
    <row r="176" spans="1:7" x14ac:dyDescent="0.2">
      <c r="A176" s="632" t="s">
        <v>230</v>
      </c>
      <c r="B176" s="670">
        <f>HLOOKUP($B$175,'MH-60S Mission System Summary'!$B$1:$J$12,2,FALSE)</f>
        <v>0.76006988682998511</v>
      </c>
    </row>
    <row r="177" spans="1:2" x14ac:dyDescent="0.2">
      <c r="A177" s="632" t="str">
        <f t="shared" ref="A177:A186" si="24">A39</f>
        <v>Ready MH-60S Cargo Transport Mission Systems (C)</v>
      </c>
      <c r="B177" s="670">
        <f>HLOOKUP($B$175,'MH-60S Mission System Summary'!$B$1:$J$12,3,FALSE)</f>
        <v>0.57119280711366938</v>
      </c>
    </row>
    <row r="178" spans="1:2" x14ac:dyDescent="0.2">
      <c r="A178" s="632" t="str">
        <f t="shared" si="24"/>
        <v>Ready MH-60S Airborne Mine Counter Measures (AMCM) Mission Systems (D)</v>
      </c>
      <c r="B178" s="670">
        <f>HLOOKUP($B$175,'MH-60S Mission System Summary'!$B$1:$J$12,4,FALSE)</f>
        <v>0</v>
      </c>
    </row>
    <row r="179" spans="1:2" x14ac:dyDescent="0.2">
      <c r="A179" s="632" t="str">
        <f t="shared" si="24"/>
        <v>Ready MH-60S Active/Passive Countermeasures Mission Systems (E)</v>
      </c>
      <c r="B179" s="670">
        <f>HLOOKUP($B$175,'MH-60S Mission System Summary'!$B$1:$J$12,5,FALSE)</f>
        <v>0.70901685337628628</v>
      </c>
    </row>
    <row r="180" spans="1:2" x14ac:dyDescent="0.2">
      <c r="A180" s="632" t="str">
        <f t="shared" si="24"/>
        <v>Ready MH-60S CSAR, SUW, and Spec Warfare Mission Systems (F)</v>
      </c>
      <c r="B180" s="670">
        <f>HLOOKUP($B$175,'MH-60S Mission System Summary'!$B$1:$J$12,6,FALSE)</f>
        <v>0.70901685337628628</v>
      </c>
    </row>
    <row r="181" spans="1:2" x14ac:dyDescent="0.2">
      <c r="A181" s="632" t="str">
        <f t="shared" si="24"/>
        <v>Ready MH-60S Personnel Transport Mission Systems (G)</v>
      </c>
      <c r="B181" s="670">
        <f>HLOOKUP($B$175,'MH-60S Mission System Summary'!$B$1:$J$12,7,FALSE)</f>
        <v>0.53071301730227138</v>
      </c>
    </row>
    <row r="182" spans="1:2" x14ac:dyDescent="0.2">
      <c r="A182" s="632" t="str">
        <f t="shared" si="24"/>
        <v>Ready MH-60S SAR\MEDIVAC Mission Systems (H)</v>
      </c>
      <c r="B182" s="670">
        <f>HLOOKUP($B$175,'MH-60S Mission System Summary'!$B$1:$J$12,8,FALSE)</f>
        <v>0.53071301730227138</v>
      </c>
    </row>
    <row r="183" spans="1:2" x14ac:dyDescent="0.2">
      <c r="A183" s="632" t="str">
        <f t="shared" si="24"/>
        <v>Ready MH-60S Mission Support Systems (I)</v>
      </c>
      <c r="B183" s="670">
        <f>HLOOKUP($B$175,'MH-60S Mission System Summary'!$B$1:$J$12,9,FALSE)</f>
        <v>0</v>
      </c>
    </row>
    <row r="184" spans="1:2" x14ac:dyDescent="0.2">
      <c r="A184" s="632" t="str">
        <f t="shared" si="24"/>
        <v>Ready MH-60S Fixed Forward Firing Systems (J)</v>
      </c>
      <c r="B184" s="670">
        <f>HLOOKUP($B$175,'MH-60S Mission System Summary'!$B$1:$J$12,10,FALSE)</f>
        <v>0.70901685337628628</v>
      </c>
    </row>
    <row r="185" spans="1:2" x14ac:dyDescent="0.2">
      <c r="A185" s="632" t="str">
        <f t="shared" si="24"/>
        <v>Ready MH-60S Shipboard Mission Systems (K)</v>
      </c>
      <c r="B185" s="670">
        <f>HLOOKUP($B$175,'MH-60S Mission System Summary'!$B$1:$J$12,11,FALSE)</f>
        <v>0.23604628902253061</v>
      </c>
    </row>
    <row r="186" spans="1:2" x14ac:dyDescent="0.2">
      <c r="A186" s="632" t="str">
        <f t="shared" si="24"/>
        <v>Ready MH-60S IMC Flight Mission Systems (L)</v>
      </c>
      <c r="B186" s="670">
        <f>HLOOKUP($B$175,'MH-60S Mission System Summary'!$B$1:$J$12,12,FALSE)</f>
        <v>1</v>
      </c>
    </row>
  </sheetData>
  <mergeCells count="9">
    <mergeCell ref="B147:C147"/>
    <mergeCell ref="D147:E147"/>
    <mergeCell ref="F147:G147"/>
    <mergeCell ref="A1:C1"/>
    <mergeCell ref="M1:P1"/>
    <mergeCell ref="A98:D98"/>
    <mergeCell ref="A108:B108"/>
    <mergeCell ref="A109:B109"/>
    <mergeCell ref="A143:B143"/>
  </mergeCells>
  <conditionalFormatting sqref="C149:C150 C164:C166">
    <cfRule type="cellIs" dxfId="283" priority="80" operator="equal">
      <formula>B149</formula>
    </cfRule>
  </conditionalFormatting>
  <conditionalFormatting sqref="D149:E150 D163:E166">
    <cfRule type="cellIs" dxfId="282" priority="79" operator="equal">
      <formula>C149</formula>
    </cfRule>
  </conditionalFormatting>
  <conditionalFormatting sqref="E149">
    <cfRule type="cellIs" dxfId="281" priority="78" operator="equal">
      <formula>D149</formula>
    </cfRule>
  </conditionalFormatting>
  <conditionalFormatting sqref="F149">
    <cfRule type="cellIs" dxfId="280" priority="77" operator="equal">
      <formula>E149</formula>
    </cfRule>
  </conditionalFormatting>
  <conditionalFormatting sqref="F150 F163:F164">
    <cfRule type="cellIs" dxfId="279" priority="75" operator="equal">
      <formula>G150</formula>
    </cfRule>
    <cfRule type="cellIs" dxfId="278" priority="76" operator="equal">
      <formula>E150</formula>
    </cfRule>
  </conditionalFormatting>
  <conditionalFormatting sqref="F165:F166">
    <cfRule type="cellIs" dxfId="277" priority="73" operator="equal">
      <formula>G165</formula>
    </cfRule>
    <cfRule type="cellIs" dxfId="276" priority="74" operator="equal">
      <formula>E165</formula>
    </cfRule>
  </conditionalFormatting>
  <conditionalFormatting sqref="F172">
    <cfRule type="cellIs" dxfId="275" priority="71" operator="equal">
      <formula>G134</formula>
    </cfRule>
    <cfRule type="cellIs" dxfId="274" priority="72" operator="equal">
      <formula>E134</formula>
    </cfRule>
  </conditionalFormatting>
  <conditionalFormatting sqref="F171">
    <cfRule type="cellIs" dxfId="273" priority="81" operator="equal">
      <formula>#REF!</formula>
    </cfRule>
    <cfRule type="cellIs" dxfId="272" priority="82" operator="equal">
      <formula>E132</formula>
    </cfRule>
  </conditionalFormatting>
  <conditionalFormatting sqref="D171:E172">
    <cfRule type="cellIs" dxfId="271" priority="83" operator="equal">
      <formula>C132</formula>
    </cfRule>
  </conditionalFormatting>
  <conditionalFormatting sqref="C171:C172">
    <cfRule type="cellIs" dxfId="270" priority="84" operator="equal">
      <formula>B132</formula>
    </cfRule>
  </conditionalFormatting>
  <conditionalFormatting sqref="C163">
    <cfRule type="cellIs" dxfId="269" priority="46" operator="equal">
      <formula>B163</formula>
    </cfRule>
  </conditionalFormatting>
  <conditionalFormatting sqref="C168">
    <cfRule type="cellIs" dxfId="268" priority="45" operator="equal">
      <formula>B168</formula>
    </cfRule>
  </conditionalFormatting>
  <conditionalFormatting sqref="D167:E168">
    <cfRule type="cellIs" dxfId="267" priority="44" operator="equal">
      <formula>C167</formula>
    </cfRule>
  </conditionalFormatting>
  <conditionalFormatting sqref="F167:F168">
    <cfRule type="cellIs" dxfId="266" priority="42" operator="equal">
      <formula>G167</formula>
    </cfRule>
    <cfRule type="cellIs" dxfId="265" priority="43" operator="equal">
      <formula>E167</formula>
    </cfRule>
  </conditionalFormatting>
  <conditionalFormatting sqref="C167">
    <cfRule type="cellIs" dxfId="264" priority="41" operator="equal">
      <formula>B167</formula>
    </cfRule>
  </conditionalFormatting>
  <conditionalFormatting sqref="C170">
    <cfRule type="cellIs" dxfId="263" priority="40" operator="equal">
      <formula>B170</formula>
    </cfRule>
  </conditionalFormatting>
  <conditionalFormatting sqref="D169:E170">
    <cfRule type="cellIs" dxfId="262" priority="39" operator="equal">
      <formula>C169</formula>
    </cfRule>
  </conditionalFormatting>
  <conditionalFormatting sqref="F169:F170">
    <cfRule type="cellIs" dxfId="261" priority="37" operator="equal">
      <formula>G169</formula>
    </cfRule>
    <cfRule type="cellIs" dxfId="260" priority="38" operator="equal">
      <formula>E169</formula>
    </cfRule>
  </conditionalFormatting>
  <conditionalFormatting sqref="C169">
    <cfRule type="cellIs" dxfId="259" priority="36" operator="equal">
      <formula>B169</formula>
    </cfRule>
  </conditionalFormatting>
  <conditionalFormatting sqref="C152:C153 C158 C161">
    <cfRule type="cellIs" dxfId="258" priority="35" operator="equal">
      <formula>B152</formula>
    </cfRule>
  </conditionalFormatting>
  <conditionalFormatting sqref="D152:E153 D158:E158 D161:E161">
    <cfRule type="cellIs" dxfId="257" priority="34" operator="equal">
      <formula>C152</formula>
    </cfRule>
  </conditionalFormatting>
  <conditionalFormatting sqref="F152:F153 F158 F161">
    <cfRule type="cellIs" dxfId="256" priority="32" operator="equal">
      <formula>G152</formula>
    </cfRule>
    <cfRule type="cellIs" dxfId="255" priority="33" operator="equal">
      <formula>E152</formula>
    </cfRule>
  </conditionalFormatting>
  <conditionalFormatting sqref="C154">
    <cfRule type="cellIs" dxfId="254" priority="31" operator="equal">
      <formula>B154</formula>
    </cfRule>
  </conditionalFormatting>
  <conditionalFormatting sqref="D154:E154">
    <cfRule type="cellIs" dxfId="253" priority="30" operator="equal">
      <formula>C154</formula>
    </cfRule>
  </conditionalFormatting>
  <conditionalFormatting sqref="F154">
    <cfRule type="cellIs" dxfId="252" priority="28" operator="equal">
      <formula>G154</formula>
    </cfRule>
    <cfRule type="cellIs" dxfId="251" priority="29" operator="equal">
      <formula>E154</formula>
    </cfRule>
  </conditionalFormatting>
  <conditionalFormatting sqref="C155">
    <cfRule type="cellIs" dxfId="250" priority="27" operator="equal">
      <formula>B155</formula>
    </cfRule>
  </conditionalFormatting>
  <conditionalFormatting sqref="D155:E155">
    <cfRule type="cellIs" dxfId="249" priority="26" operator="equal">
      <formula>C155</formula>
    </cfRule>
  </conditionalFormatting>
  <conditionalFormatting sqref="F155">
    <cfRule type="cellIs" dxfId="248" priority="24" operator="equal">
      <formula>G155</formula>
    </cfRule>
    <cfRule type="cellIs" dxfId="247" priority="25" operator="equal">
      <formula>E155</formula>
    </cfRule>
  </conditionalFormatting>
  <conditionalFormatting sqref="C156">
    <cfRule type="cellIs" dxfId="246" priority="23" operator="equal">
      <formula>B156</formula>
    </cfRule>
  </conditionalFormatting>
  <conditionalFormatting sqref="D156:E156">
    <cfRule type="cellIs" dxfId="245" priority="22" operator="equal">
      <formula>C156</formula>
    </cfRule>
  </conditionalFormatting>
  <conditionalFormatting sqref="F156">
    <cfRule type="cellIs" dxfId="244" priority="20" operator="equal">
      <formula>G156</formula>
    </cfRule>
    <cfRule type="cellIs" dxfId="243" priority="21" operator="equal">
      <formula>E156</formula>
    </cfRule>
  </conditionalFormatting>
  <conditionalFormatting sqref="C157">
    <cfRule type="cellIs" dxfId="242" priority="19" operator="equal">
      <formula>B157</formula>
    </cfRule>
  </conditionalFormatting>
  <conditionalFormatting sqref="D157:E157">
    <cfRule type="cellIs" dxfId="241" priority="18" operator="equal">
      <formula>C157</formula>
    </cfRule>
  </conditionalFormatting>
  <conditionalFormatting sqref="F157">
    <cfRule type="cellIs" dxfId="240" priority="16" operator="equal">
      <formula>G157</formula>
    </cfRule>
    <cfRule type="cellIs" dxfId="239" priority="17" operator="equal">
      <formula>E157</formula>
    </cfRule>
  </conditionalFormatting>
  <conditionalFormatting sqref="C159">
    <cfRule type="cellIs" dxfId="238" priority="15" operator="equal">
      <formula>B159</formula>
    </cfRule>
  </conditionalFormatting>
  <conditionalFormatting sqref="D159:E159">
    <cfRule type="cellIs" dxfId="237" priority="14" operator="equal">
      <formula>C159</formula>
    </cfRule>
  </conditionalFormatting>
  <conditionalFormatting sqref="F159">
    <cfRule type="cellIs" dxfId="236" priority="12" operator="equal">
      <formula>G159</formula>
    </cfRule>
    <cfRule type="cellIs" dxfId="235" priority="13" operator="equal">
      <formula>E159</formula>
    </cfRule>
  </conditionalFormatting>
  <conditionalFormatting sqref="C160">
    <cfRule type="cellIs" dxfId="234" priority="11" operator="equal">
      <formula>B160</formula>
    </cfRule>
  </conditionalFormatting>
  <conditionalFormatting sqref="D160:E160">
    <cfRule type="cellIs" dxfId="233" priority="10" operator="equal">
      <formula>C160</formula>
    </cfRule>
  </conditionalFormatting>
  <conditionalFormatting sqref="F160">
    <cfRule type="cellIs" dxfId="232" priority="8" operator="equal">
      <formula>G160</formula>
    </cfRule>
    <cfRule type="cellIs" dxfId="231" priority="9" operator="equal">
      <formula>E160</formula>
    </cfRule>
  </conditionalFormatting>
  <conditionalFormatting sqref="B152:B153 B158 B161">
    <cfRule type="cellIs" dxfId="230" priority="7" operator="equal">
      <formula>A152</formula>
    </cfRule>
  </conditionalFormatting>
  <conditionalFormatting sqref="B154">
    <cfRule type="cellIs" dxfId="229" priority="6" operator="equal">
      <formula>A154</formula>
    </cfRule>
  </conditionalFormatting>
  <conditionalFormatting sqref="B155">
    <cfRule type="cellIs" dxfId="228" priority="5" operator="equal">
      <formula>A155</formula>
    </cfRule>
  </conditionalFormatting>
  <conditionalFormatting sqref="B156">
    <cfRule type="cellIs" dxfId="227" priority="4" operator="equal">
      <formula>A156</formula>
    </cfRule>
  </conditionalFormatting>
  <conditionalFormatting sqref="B157">
    <cfRule type="cellIs" dxfId="226" priority="3" operator="equal">
      <formula>A157</formula>
    </cfRule>
  </conditionalFormatting>
  <conditionalFormatting sqref="B159">
    <cfRule type="cellIs" dxfId="225" priority="2" operator="equal">
      <formula>A159</formula>
    </cfRule>
  </conditionalFormatting>
  <conditionalFormatting sqref="B160">
    <cfRule type="cellIs" dxfId="224" priority="1" operator="equal">
      <formula>A160</formula>
    </cfRule>
  </conditionalFormatting>
  <hyperlinks>
    <hyperlink ref="H1" location="Inventory!A1" display="Inventory" xr:uid="{00000000-0004-0000-0700-000000000000}"/>
    <hyperlink ref="I147" location="'HSC EXP 1AC RFS DRRS'!A1" display="Top" xr:uid="{00000000-0004-0000-0700-000001000000}"/>
    <hyperlink ref="H2" location="'HSC EXP 1AC RFS DRRS'!A165" display="AMFOM" xr:uid="{00000000-0004-0000-0700-000002000000}"/>
    <hyperlink ref="I148" location="Inventory!A1" display="Inventory" xr:uid="{00000000-0004-0000-0700-000003000000}"/>
  </hyperlinks>
  <printOptions horizontalCentered="1" verticalCentered="1"/>
  <pageMargins left="0.5" right="0.25" top="0.17" bottom="0.17" header="0.17" footer="0.17"/>
  <pageSetup paperSize="17" scale="47"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D186"/>
  <sheetViews>
    <sheetView showGridLines="0" topLeftCell="A25" zoomScaleNormal="100" zoomScaleSheetLayoutView="100" workbookViewId="0">
      <selection activeCell="A177" sqref="A177"/>
    </sheetView>
  </sheetViews>
  <sheetFormatPr defaultRowHeight="12" x14ac:dyDescent="0.2"/>
  <cols>
    <col min="1" max="1" width="62" style="28" bestFit="1" customWidth="1"/>
    <col min="2" max="29" width="5.7109375" style="28" customWidth="1"/>
    <col min="30" max="30" width="6.28515625" style="28" bestFit="1" customWidth="1"/>
    <col min="31" max="32" width="5.7109375" style="28" customWidth="1"/>
    <col min="33" max="33" width="6.28515625" style="28" bestFit="1" customWidth="1"/>
    <col min="34" max="16384" width="9.140625" style="28"/>
  </cols>
  <sheetData>
    <row r="1" spans="1:30" s="1" customFormat="1" ht="18.75" x14ac:dyDescent="0.3">
      <c r="A1" s="157" t="s">
        <v>260</v>
      </c>
      <c r="B1" s="157"/>
      <c r="C1" s="157"/>
      <c r="E1" s="150"/>
      <c r="H1" s="194" t="s">
        <v>62</v>
      </c>
      <c r="L1" s="151" t="s">
        <v>3</v>
      </c>
      <c r="M1" s="770">
        <v>44835</v>
      </c>
      <c r="N1" s="771"/>
      <c r="O1" s="772"/>
      <c r="P1" s="772"/>
      <c r="AC1" s="423" t="s">
        <v>63</v>
      </c>
      <c r="AD1" s="426">
        <v>7.07</v>
      </c>
    </row>
    <row r="2" spans="1:30" s="8" customFormat="1" x14ac:dyDescent="0.2">
      <c r="A2" s="135" t="s">
        <v>64</v>
      </c>
      <c r="B2" s="3">
        <v>4</v>
      </c>
      <c r="C2" s="4"/>
      <c r="E2" s="5"/>
      <c r="H2" s="624" t="s">
        <v>1</v>
      </c>
    </row>
    <row r="3" spans="1:30" s="8" customFormat="1" ht="11.25" x14ac:dyDescent="0.2">
      <c r="A3" s="135" t="s">
        <v>65</v>
      </c>
      <c r="B3" s="65">
        <f>B4/B2</f>
        <v>1.5</v>
      </c>
      <c r="C3" s="12"/>
      <c r="I3" s="195"/>
    </row>
    <row r="4" spans="1:30" s="8" customFormat="1" ht="11.25" x14ac:dyDescent="0.2">
      <c r="A4" s="135" t="s">
        <v>66</v>
      </c>
      <c r="B4" s="10">
        <v>6</v>
      </c>
      <c r="C4" s="14"/>
      <c r="D4" s="15"/>
      <c r="E4" s="15"/>
      <c r="F4" s="16"/>
      <c r="G4" s="17"/>
      <c r="H4" s="18"/>
      <c r="I4" s="195"/>
      <c r="J4" s="196"/>
    </row>
    <row r="5" spans="1:30" s="8" customFormat="1" ht="11.25" x14ac:dyDescent="0.2">
      <c r="A5" s="135" t="s">
        <v>67</v>
      </c>
      <c r="B5" s="19">
        <v>2</v>
      </c>
      <c r="C5" s="14"/>
      <c r="D5" s="15"/>
      <c r="E5" s="15"/>
      <c r="F5" s="20"/>
      <c r="G5" s="18"/>
      <c r="H5" s="18"/>
      <c r="I5" s="195"/>
      <c r="J5" s="197"/>
    </row>
    <row r="6" spans="1:30" s="8" customFormat="1" ht="11.25" x14ac:dyDescent="0.2">
      <c r="A6" s="136" t="s">
        <v>68</v>
      </c>
      <c r="B6" s="452">
        <v>26.6</v>
      </c>
      <c r="C6" s="21"/>
      <c r="D6" s="22"/>
      <c r="E6" s="22"/>
      <c r="F6" s="20"/>
      <c r="G6" s="18"/>
      <c r="H6" s="18"/>
      <c r="I6" s="195"/>
      <c r="J6" s="197"/>
    </row>
    <row r="7" spans="1:30" s="8" customFormat="1" ht="11.25" x14ac:dyDescent="0.2">
      <c r="A7" s="135" t="s">
        <v>69</v>
      </c>
      <c r="B7" s="65">
        <f>B6*B4</f>
        <v>159.60000000000002</v>
      </c>
      <c r="C7" s="14"/>
      <c r="D7" s="14"/>
      <c r="E7" s="15"/>
      <c r="F7" s="20"/>
      <c r="G7" s="18"/>
      <c r="H7" s="18"/>
      <c r="I7" s="195"/>
      <c r="J7" s="197"/>
    </row>
    <row r="8" spans="1:30" s="8" customFormat="1" ht="11.25" x14ac:dyDescent="0.2">
      <c r="A8" s="135" t="s">
        <v>70</v>
      </c>
      <c r="B8" s="65">
        <f>B7/B5</f>
        <v>79.800000000000011</v>
      </c>
      <c r="C8" s="13"/>
      <c r="D8" s="14"/>
      <c r="E8" s="14"/>
      <c r="F8" s="20"/>
      <c r="G8" s="18"/>
      <c r="H8" s="18"/>
      <c r="I8" s="195"/>
      <c r="J8" s="197"/>
    </row>
    <row r="9" spans="1:30" s="8" customFormat="1" ht="11.25" x14ac:dyDescent="0.2">
      <c r="A9" s="135" t="s">
        <v>71</v>
      </c>
      <c r="B9" s="65">
        <f>B4*C9</f>
        <v>6</v>
      </c>
      <c r="C9" s="23">
        <v>1</v>
      </c>
      <c r="D9" s="203" t="s">
        <v>72</v>
      </c>
      <c r="E9" s="14"/>
      <c r="F9" s="20"/>
      <c r="G9" s="132" t="s">
        <v>73</v>
      </c>
      <c r="H9" s="133">
        <v>0.4</v>
      </c>
      <c r="J9" s="197"/>
    </row>
    <row r="10" spans="1:30" s="8" customFormat="1" ht="11.25" x14ac:dyDescent="0.2">
      <c r="A10" s="135" t="s">
        <v>74</v>
      </c>
      <c r="B10" s="11">
        <f>B4*C10</f>
        <v>37.799999999999997</v>
      </c>
      <c r="C10" s="23">
        <v>6.3</v>
      </c>
      <c r="D10" s="203" t="s">
        <v>72</v>
      </c>
      <c r="E10" s="11"/>
      <c r="F10" s="20"/>
      <c r="G10" s="134" t="s">
        <v>75</v>
      </c>
      <c r="H10" s="454">
        <v>0.22</v>
      </c>
      <c r="J10" s="198"/>
    </row>
    <row r="11" spans="1:30" s="8" customFormat="1" ht="11.25" x14ac:dyDescent="0.2">
      <c r="A11" s="200" t="s">
        <v>76</v>
      </c>
      <c r="B11" s="201">
        <f>C11*B4</f>
        <v>6</v>
      </c>
      <c r="C11" s="202">
        <v>1</v>
      </c>
      <c r="D11" s="203" t="s">
        <v>72</v>
      </c>
      <c r="E11" s="25"/>
      <c r="F11" s="11"/>
      <c r="G11" s="11"/>
      <c r="H11" s="11"/>
      <c r="I11" s="195"/>
      <c r="J11" s="197"/>
    </row>
    <row r="12" spans="1:30" s="8" customFormat="1" ht="11.25" x14ac:dyDescent="0.2">
      <c r="C12" s="25"/>
      <c r="D12" s="25"/>
      <c r="E12" s="25"/>
      <c r="F12" s="11"/>
      <c r="G12" s="11"/>
      <c r="H12" s="11"/>
      <c r="I12" s="195"/>
      <c r="J12" s="197"/>
    </row>
    <row r="13" spans="1:30" s="26" customFormat="1" ht="59.25" x14ac:dyDescent="0.2">
      <c r="A13" s="66" t="s">
        <v>77</v>
      </c>
      <c r="B13" s="67" t="s">
        <v>83</v>
      </c>
      <c r="C13" s="67" t="s">
        <v>79</v>
      </c>
      <c r="D13" s="659" t="s">
        <v>78</v>
      </c>
      <c r="E13" s="163" t="s">
        <v>84</v>
      </c>
    </row>
    <row r="14" spans="1:30" s="27" customFormat="1" x14ac:dyDescent="0.2">
      <c r="A14" s="66" t="s">
        <v>85</v>
      </c>
      <c r="B14" s="125" t="s">
        <v>102</v>
      </c>
      <c r="C14" s="125" t="s">
        <v>87</v>
      </c>
      <c r="D14" s="718" t="s">
        <v>88</v>
      </c>
      <c r="E14" s="164" t="s">
        <v>113</v>
      </c>
    </row>
    <row r="15" spans="1:30" s="27" customFormat="1" x14ac:dyDescent="0.2">
      <c r="A15" s="66" t="s">
        <v>114</v>
      </c>
      <c r="B15" s="125">
        <v>1</v>
      </c>
      <c r="C15" s="125">
        <v>2</v>
      </c>
      <c r="D15" s="718">
        <v>3</v>
      </c>
      <c r="E15" s="164">
        <v>30</v>
      </c>
    </row>
    <row r="16" spans="1:30" x14ac:dyDescent="0.2">
      <c r="A16" s="66" t="s">
        <v>115</v>
      </c>
      <c r="B16" s="217" t="s">
        <v>83</v>
      </c>
      <c r="C16" s="303" t="s">
        <v>242</v>
      </c>
      <c r="D16" s="719" t="s">
        <v>242</v>
      </c>
      <c r="E16" s="218" t="s">
        <v>121</v>
      </c>
    </row>
    <row r="17" spans="1:5" ht="12.75" x14ac:dyDescent="0.2">
      <c r="A17" s="155" t="s">
        <v>122</v>
      </c>
      <c r="B17" s="110"/>
      <c r="C17" s="31"/>
      <c r="D17" s="31"/>
      <c r="E17" s="34"/>
    </row>
    <row r="18" spans="1:5" x14ac:dyDescent="0.2">
      <c r="A18" s="178" t="s">
        <v>123</v>
      </c>
      <c r="B18" s="177">
        <f>IF(B101&lt;80,B102,MIN(B101,80))</f>
        <v>80</v>
      </c>
      <c r="C18" s="177">
        <f t="shared" ref="C18:E18" si="0">IF(C101&lt;80,C102,MIN(C101,80))</f>
        <v>45</v>
      </c>
      <c r="D18" s="653">
        <f t="shared" si="0"/>
        <v>22</v>
      </c>
      <c r="E18" s="177">
        <f t="shared" si="0"/>
        <v>15</v>
      </c>
    </row>
    <row r="19" spans="1:5" x14ac:dyDescent="0.2">
      <c r="A19" s="34" t="s">
        <v>124</v>
      </c>
      <c r="B19" s="71">
        <v>0.7</v>
      </c>
      <c r="C19" s="71">
        <v>0.55000000000000004</v>
      </c>
      <c r="D19" s="645">
        <v>0.5</v>
      </c>
      <c r="E19" s="215">
        <v>0.4</v>
      </c>
    </row>
    <row r="20" spans="1:5" x14ac:dyDescent="0.2">
      <c r="A20" s="204" t="s">
        <v>125</v>
      </c>
      <c r="B20" s="147"/>
      <c r="C20" s="211"/>
      <c r="D20" s="211"/>
      <c r="E20" s="305"/>
    </row>
    <row r="21" spans="1:5" s="38" customFormat="1" x14ac:dyDescent="0.2">
      <c r="A21" s="205" t="s">
        <v>126</v>
      </c>
      <c r="B21" s="209">
        <f t="shared" ref="B21:D21" si="1">B19*$B$8</f>
        <v>55.860000000000007</v>
      </c>
      <c r="C21" s="209">
        <f t="shared" si="1"/>
        <v>43.890000000000008</v>
      </c>
      <c r="D21" s="210">
        <f t="shared" si="1"/>
        <v>39.900000000000006</v>
      </c>
      <c r="E21" s="209">
        <f>E19*$B$8</f>
        <v>31.920000000000005</v>
      </c>
    </row>
    <row r="22" spans="1:5" s="40" customFormat="1" x14ac:dyDescent="0.2">
      <c r="A22" s="205" t="s">
        <v>127</v>
      </c>
      <c r="B22" s="37">
        <f t="shared" ref="B22:E22" si="2">B21*$B$5</f>
        <v>111.72000000000001</v>
      </c>
      <c r="C22" s="37">
        <f t="shared" si="2"/>
        <v>87.780000000000015</v>
      </c>
      <c r="D22" s="138">
        <f t="shared" si="2"/>
        <v>79.800000000000011</v>
      </c>
      <c r="E22" s="37">
        <f t="shared" si="2"/>
        <v>63.840000000000011</v>
      </c>
    </row>
    <row r="23" spans="1:5" s="40" customFormat="1" x14ac:dyDescent="0.2">
      <c r="A23" s="205" t="s">
        <v>128</v>
      </c>
      <c r="B23" s="139">
        <f>$B$9</f>
        <v>6</v>
      </c>
      <c r="C23" s="139">
        <f t="shared" ref="C23:E23" si="3">$B$9</f>
        <v>6</v>
      </c>
      <c r="D23" s="140">
        <f t="shared" si="3"/>
        <v>6</v>
      </c>
      <c r="E23" s="139">
        <f t="shared" si="3"/>
        <v>6</v>
      </c>
    </row>
    <row r="24" spans="1:5" s="40" customFormat="1" x14ac:dyDescent="0.2">
      <c r="A24" s="205" t="s">
        <v>129</v>
      </c>
      <c r="B24" s="139">
        <f>IF(ISBLANK(B145),0,$B$10)</f>
        <v>37.799999999999997</v>
      </c>
      <c r="C24" s="139">
        <f>IF(ISBLANK(C145),0,$B$10)</f>
        <v>0</v>
      </c>
      <c r="D24" s="140">
        <f>IF(ISBLANK(D145),0,$B$10)</f>
        <v>0</v>
      </c>
      <c r="E24" s="139">
        <f>IF(ISBLANK(AA135),0,$B$10)</f>
        <v>0</v>
      </c>
    </row>
    <row r="25" spans="1:5" s="40" customFormat="1" x14ac:dyDescent="0.2">
      <c r="A25" s="205" t="s">
        <v>130</v>
      </c>
      <c r="B25" s="37">
        <f>B21*$B$5+SUM(B23:B24)</f>
        <v>155.52000000000001</v>
      </c>
      <c r="C25" s="37">
        <f t="shared" ref="C25:D25" si="4">C21*$B$5+SUM(C23:C24)</f>
        <v>93.780000000000015</v>
      </c>
      <c r="D25" s="138">
        <f t="shared" si="4"/>
        <v>85.800000000000011</v>
      </c>
      <c r="E25" s="37">
        <f t="shared" ref="E25" si="5">E21*$B$5+SUM(E23:E24)</f>
        <v>69.84</v>
      </c>
    </row>
    <row r="26" spans="1:5" s="40" customFormat="1" x14ac:dyDescent="0.2">
      <c r="A26" s="206" t="s">
        <v>131</v>
      </c>
      <c r="B26" s="39">
        <f>-IF(ISBLANK(B144),0,MIN(B$22*$H$10,B$22-$B$7*$H$9))</f>
        <v>0</v>
      </c>
      <c r="C26" s="39">
        <f>-IF(ISBLANK(C144),0,MIN(C$22*$H$10,C$22-$B$7*$H$9))</f>
        <v>-19.311600000000002</v>
      </c>
      <c r="D26" s="141">
        <f>-IF(ISBLANK(D144),0,MIN(D$22*$H$10,D$22-$B$7*$H$9))</f>
        <v>-15.96</v>
      </c>
      <c r="E26" s="37">
        <f>-IF(ISBLANK(AA134),0,MIN(E$21*$H$10,E$21-$B$7*$H$9))</f>
        <v>0</v>
      </c>
    </row>
    <row r="27" spans="1:5" s="40" customFormat="1" x14ac:dyDescent="0.2">
      <c r="A27" s="205" t="s">
        <v>132</v>
      </c>
      <c r="B27" s="39">
        <f t="shared" ref="B27:D27" si="6">SUM(B25:B26)</f>
        <v>155.52000000000001</v>
      </c>
      <c r="C27" s="39">
        <f t="shared" si="6"/>
        <v>74.468400000000017</v>
      </c>
      <c r="D27" s="141">
        <f t="shared" si="6"/>
        <v>69.84</v>
      </c>
      <c r="E27" s="37">
        <f t="shared" ref="E27" si="7">SUM(E25:E26)</f>
        <v>69.84</v>
      </c>
    </row>
    <row r="28" spans="1:5" s="40" customFormat="1" x14ac:dyDescent="0.2">
      <c r="A28" s="206" t="s">
        <v>133</v>
      </c>
      <c r="B28" s="41">
        <f t="shared" ref="B28:C28" si="8">AVERAGE($B$22:$D$22)</f>
        <v>93.100000000000023</v>
      </c>
      <c r="C28" s="41">
        <f t="shared" si="8"/>
        <v>93.100000000000023</v>
      </c>
      <c r="D28" s="639">
        <f>AVERAGE($B$22:$D$22)</f>
        <v>93.100000000000023</v>
      </c>
      <c r="E28" s="37">
        <f>E27</f>
        <v>69.84</v>
      </c>
    </row>
    <row r="29" spans="1:5" s="40" customFormat="1" x14ac:dyDescent="0.2">
      <c r="A29" s="207" t="s">
        <v>134</v>
      </c>
      <c r="B29" s="138"/>
      <c r="C29" s="212"/>
      <c r="D29" s="212"/>
      <c r="E29" s="37"/>
    </row>
    <row r="30" spans="1:5" s="40" customFormat="1" x14ac:dyDescent="0.2">
      <c r="A30" s="206" t="s">
        <v>135</v>
      </c>
      <c r="B30" s="41">
        <f>IF(ISBLANK(B144),0,$B$11)</f>
        <v>0</v>
      </c>
      <c r="C30" s="41">
        <f>IF(ISBLANK(C144),0,$B$11)</f>
        <v>6</v>
      </c>
      <c r="D30" s="639">
        <f>IF(ISBLANK(D144),0,$B$11)</f>
        <v>6</v>
      </c>
      <c r="E30" s="41">
        <f>IF(ISBLANK(E144),0,$B$11)</f>
        <v>6</v>
      </c>
    </row>
    <row r="31" spans="1:5" s="40" customFormat="1" ht="12.75" x14ac:dyDescent="0.2">
      <c r="A31" s="155" t="s">
        <v>136</v>
      </c>
      <c r="B31" s="114"/>
      <c r="C31" s="42"/>
      <c r="D31" s="42"/>
      <c r="E31" s="34"/>
    </row>
    <row r="32" spans="1:5" s="40" customFormat="1" x14ac:dyDescent="0.2">
      <c r="A32" s="333" t="s">
        <v>137</v>
      </c>
      <c r="B32" s="35">
        <v>1</v>
      </c>
      <c r="C32" s="35">
        <v>0.8</v>
      </c>
      <c r="D32" s="147">
        <v>0.7</v>
      </c>
      <c r="E32" s="35">
        <v>0.7</v>
      </c>
    </row>
    <row r="33" spans="1:5" s="40" customFormat="1" x14ac:dyDescent="0.2">
      <c r="A33" s="333" t="s">
        <v>138</v>
      </c>
      <c r="B33" s="43">
        <f>0.8*B32</f>
        <v>0.8</v>
      </c>
      <c r="C33" s="43">
        <f t="shared" ref="C33:E33" si="9">0.8*C32</f>
        <v>0.64000000000000012</v>
      </c>
      <c r="D33" s="640">
        <f t="shared" si="9"/>
        <v>0.55999999999999994</v>
      </c>
      <c r="E33" s="43">
        <f t="shared" si="9"/>
        <v>0.55999999999999994</v>
      </c>
    </row>
    <row r="34" spans="1:5" s="40" customFormat="1" x14ac:dyDescent="0.2">
      <c r="A34" s="333" t="s">
        <v>139</v>
      </c>
      <c r="B34" s="43">
        <f>((B36*$B$176)/$B$2)</f>
        <v>0.64116937705398025</v>
      </c>
      <c r="C34" s="43">
        <f t="shared" ref="C34:E34" si="10">((C36*$B$176)/$B$2)</f>
        <v>0.51293550164318424</v>
      </c>
      <c r="D34" s="43">
        <f t="shared" si="10"/>
        <v>0.44881856393778619</v>
      </c>
      <c r="E34" s="43">
        <f t="shared" si="10"/>
        <v>0.44881856393778619</v>
      </c>
    </row>
    <row r="35" spans="1:5" s="40" customFormat="1" x14ac:dyDescent="0.2">
      <c r="A35" s="205" t="s">
        <v>140</v>
      </c>
      <c r="B35" s="45">
        <f>ROUND($B$2*B$32,2)</f>
        <v>4</v>
      </c>
      <c r="C35" s="45">
        <f>ROUND($B$2*C$32,2)</f>
        <v>3.2</v>
      </c>
      <c r="D35" s="166">
        <f>ROUND($B$2*D$32,2)</f>
        <v>2.8</v>
      </c>
      <c r="E35" s="45">
        <f>ROUND($B$2*E$32,2)</f>
        <v>2.8</v>
      </c>
    </row>
    <row r="36" spans="1:5" x14ac:dyDescent="0.2">
      <c r="A36" s="205" t="s">
        <v>141</v>
      </c>
      <c r="B36" s="45">
        <f>ROUND( $B$2*B$33,2)</f>
        <v>3.2</v>
      </c>
      <c r="C36" s="45">
        <f>ROUND( $B$2*C$33,2)</f>
        <v>2.56</v>
      </c>
      <c r="D36" s="166">
        <f>ROUND( $B$2*D$33,2)</f>
        <v>2.2400000000000002</v>
      </c>
      <c r="E36" s="165">
        <f>ROUND( $B$2*E$33,2)</f>
        <v>2.2400000000000002</v>
      </c>
    </row>
    <row r="37" spans="1:5" x14ac:dyDescent="0.2">
      <c r="A37" s="620" t="s">
        <v>142</v>
      </c>
      <c r="B37" s="671">
        <f>B34*$B$2</f>
        <v>2.564677508215921</v>
      </c>
      <c r="C37" s="671">
        <f t="shared" ref="C37:E37" si="11">C34*$B$2</f>
        <v>2.051742006572737</v>
      </c>
      <c r="D37" s="671">
        <f t="shared" si="11"/>
        <v>1.7952742557511447</v>
      </c>
      <c r="E37" s="671">
        <f t="shared" si="11"/>
        <v>1.7952742557511447</v>
      </c>
    </row>
    <row r="38" spans="1:5" ht="12.75" x14ac:dyDescent="0.2">
      <c r="A38" s="155" t="s">
        <v>143</v>
      </c>
      <c r="B38" s="110"/>
      <c r="C38" s="31"/>
      <c r="D38" s="31"/>
      <c r="E38" s="637"/>
    </row>
    <row r="39" spans="1:5" x14ac:dyDescent="0.2">
      <c r="A39" s="292" t="s">
        <v>144</v>
      </c>
      <c r="B39" s="633">
        <f>B$36*$B177</f>
        <v>2.1727666755279178</v>
      </c>
      <c r="C39" s="633">
        <f t="shared" ref="C39:E48" si="12">C$36*$B177</f>
        <v>1.7382133404223341</v>
      </c>
      <c r="D39" s="633">
        <f t="shared" si="12"/>
        <v>1.5209366728695426</v>
      </c>
      <c r="E39" s="633">
        <f>E$36*$B177</f>
        <v>1.5209366728695426</v>
      </c>
    </row>
    <row r="40" spans="1:5" x14ac:dyDescent="0.2">
      <c r="A40" s="292" t="s">
        <v>145</v>
      </c>
      <c r="B40" s="633">
        <f t="shared" ref="B40:D48" si="13">B$36*$B178</f>
        <v>0</v>
      </c>
      <c r="C40" s="633">
        <f t="shared" si="13"/>
        <v>0</v>
      </c>
      <c r="D40" s="633">
        <f t="shared" si="13"/>
        <v>0</v>
      </c>
      <c r="E40" s="633">
        <f t="shared" ref="E40" si="14">E$36*$B178</f>
        <v>0</v>
      </c>
    </row>
    <row r="41" spans="1:5" x14ac:dyDescent="0.2">
      <c r="A41" s="292" t="s">
        <v>146</v>
      </c>
      <c r="B41" s="633">
        <f t="shared" si="13"/>
        <v>2.3212658491198459</v>
      </c>
      <c r="C41" s="633">
        <f t="shared" si="12"/>
        <v>1.8570126792958765</v>
      </c>
      <c r="D41" s="633">
        <f t="shared" si="12"/>
        <v>1.6248860943838921</v>
      </c>
      <c r="E41" s="633">
        <f t="shared" si="12"/>
        <v>1.6248860943838921</v>
      </c>
    </row>
    <row r="42" spans="1:5" x14ac:dyDescent="0.2">
      <c r="A42" s="292" t="s">
        <v>147</v>
      </c>
      <c r="B42" s="633">
        <f t="shared" si="13"/>
        <v>2.3212658491198459</v>
      </c>
      <c r="C42" s="633">
        <f t="shared" si="12"/>
        <v>1.8570126792958765</v>
      </c>
      <c r="D42" s="633">
        <f t="shared" si="12"/>
        <v>1.6248860943838921</v>
      </c>
      <c r="E42" s="633">
        <f t="shared" si="12"/>
        <v>1.6248860943838921</v>
      </c>
    </row>
    <row r="43" spans="1:5" x14ac:dyDescent="0.2">
      <c r="A43" s="292" t="s">
        <v>148</v>
      </c>
      <c r="B43" s="633">
        <f t="shared" si="13"/>
        <v>1.9536980316462274</v>
      </c>
      <c r="C43" s="633">
        <f t="shared" si="12"/>
        <v>1.5629584253169819</v>
      </c>
      <c r="D43" s="633">
        <f t="shared" si="12"/>
        <v>1.3675886221523592</v>
      </c>
      <c r="E43" s="633">
        <f t="shared" si="12"/>
        <v>1.3675886221523592</v>
      </c>
    </row>
    <row r="44" spans="1:5" x14ac:dyDescent="0.2">
      <c r="A44" s="292" t="s">
        <v>149</v>
      </c>
      <c r="B44" s="633">
        <f t="shared" si="13"/>
        <v>1.9536980316462274</v>
      </c>
      <c r="C44" s="633">
        <f t="shared" si="12"/>
        <v>1.5629584253169819</v>
      </c>
      <c r="D44" s="633">
        <f t="shared" si="12"/>
        <v>1.3675886221523592</v>
      </c>
      <c r="E44" s="633">
        <f t="shared" si="12"/>
        <v>1.3675886221523592</v>
      </c>
    </row>
    <row r="45" spans="1:5" x14ac:dyDescent="0.2">
      <c r="A45" s="292" t="s">
        <v>150</v>
      </c>
      <c r="B45" s="633">
        <f t="shared" si="13"/>
        <v>0</v>
      </c>
      <c r="C45" s="633">
        <f t="shared" si="12"/>
        <v>0</v>
      </c>
      <c r="D45" s="633">
        <f t="shared" si="12"/>
        <v>0</v>
      </c>
      <c r="E45" s="633">
        <f t="shared" si="12"/>
        <v>0</v>
      </c>
    </row>
    <row r="46" spans="1:5" x14ac:dyDescent="0.2">
      <c r="A46" s="292" t="s">
        <v>151</v>
      </c>
      <c r="B46" s="633">
        <f t="shared" si="13"/>
        <v>2.3212658491198459</v>
      </c>
      <c r="C46" s="633">
        <f t="shared" si="12"/>
        <v>1.8570126792958765</v>
      </c>
      <c r="D46" s="633">
        <f t="shared" si="12"/>
        <v>1.6248860943838921</v>
      </c>
      <c r="E46" s="633">
        <f t="shared" si="12"/>
        <v>1.6248860943838921</v>
      </c>
    </row>
    <row r="47" spans="1:5" x14ac:dyDescent="0.2">
      <c r="A47" s="292" t="s">
        <v>152</v>
      </c>
      <c r="B47" s="633">
        <f>IF(B$13="Deploy",B$36,B$36*$B185)</f>
        <v>3.2</v>
      </c>
      <c r="C47" s="633">
        <f t="shared" ref="C47:D47" si="15">IF(C$13="Deploy",C$36,C$36*$B185)</f>
        <v>0.6530117084108692</v>
      </c>
      <c r="D47" s="633">
        <f t="shared" si="15"/>
        <v>0.57138524485951059</v>
      </c>
      <c r="E47" s="633">
        <f>IF(E$13="Deploy",E$36,E$36*$B185)</f>
        <v>0.57138524485951059</v>
      </c>
    </row>
    <row r="48" spans="1:5" ht="12.75" x14ac:dyDescent="0.2">
      <c r="A48" s="369" t="s">
        <v>153</v>
      </c>
      <c r="B48" s="633">
        <f t="shared" si="13"/>
        <v>3.2</v>
      </c>
      <c r="C48" s="633">
        <f t="shared" si="12"/>
        <v>2.56</v>
      </c>
      <c r="D48" s="633">
        <f t="shared" si="12"/>
        <v>2.2400000000000002</v>
      </c>
      <c r="E48" s="633">
        <f t="shared" si="12"/>
        <v>2.2400000000000002</v>
      </c>
    </row>
    <row r="49" spans="1:5" ht="12.75" x14ac:dyDescent="0.2">
      <c r="A49" s="153" t="s">
        <v>154</v>
      </c>
      <c r="B49" s="47"/>
      <c r="C49" s="47"/>
      <c r="D49" s="47"/>
      <c r="E49" s="83"/>
    </row>
    <row r="50" spans="1:5" x14ac:dyDescent="0.2">
      <c r="A50" s="293" t="s">
        <v>155</v>
      </c>
      <c r="B50" s="46">
        <v>0</v>
      </c>
      <c r="C50" s="46">
        <v>0</v>
      </c>
      <c r="D50" s="661">
        <v>0</v>
      </c>
      <c r="E50" s="46">
        <v>0</v>
      </c>
    </row>
    <row r="51" spans="1:5" x14ac:dyDescent="0.2">
      <c r="A51" s="294" t="s">
        <v>156</v>
      </c>
      <c r="B51" s="52">
        <v>0</v>
      </c>
      <c r="C51" s="52">
        <v>0</v>
      </c>
      <c r="D51" s="646">
        <v>0</v>
      </c>
      <c r="E51" s="52">
        <v>0</v>
      </c>
    </row>
    <row r="52" spans="1:5" x14ac:dyDescent="0.2">
      <c r="A52" s="293" t="s">
        <v>157</v>
      </c>
      <c r="B52" s="46">
        <v>0</v>
      </c>
      <c r="C52" s="46">
        <v>0</v>
      </c>
      <c r="D52" s="661">
        <v>0</v>
      </c>
      <c r="E52" s="46">
        <v>0</v>
      </c>
    </row>
    <row r="53" spans="1:5" x14ac:dyDescent="0.2">
      <c r="A53" s="294" t="s">
        <v>158</v>
      </c>
      <c r="B53" s="52">
        <v>0</v>
      </c>
      <c r="C53" s="52">
        <v>0</v>
      </c>
      <c r="D53" s="646">
        <v>0</v>
      </c>
      <c r="E53" s="52">
        <v>0</v>
      </c>
    </row>
    <row r="54" spans="1:5" s="40" customFormat="1" x14ac:dyDescent="0.2">
      <c r="A54" s="293" t="s">
        <v>159</v>
      </c>
      <c r="B54" s="46">
        <v>0</v>
      </c>
      <c r="C54" s="46">
        <v>0</v>
      </c>
      <c r="D54" s="661">
        <v>0</v>
      </c>
      <c r="E54" s="46">
        <v>0</v>
      </c>
    </row>
    <row r="55" spans="1:5" s="40" customFormat="1" x14ac:dyDescent="0.2">
      <c r="A55" s="294" t="s">
        <v>160</v>
      </c>
      <c r="B55" s="52">
        <v>0</v>
      </c>
      <c r="C55" s="52">
        <v>0</v>
      </c>
      <c r="D55" s="646">
        <v>0</v>
      </c>
      <c r="E55" s="52">
        <v>0</v>
      </c>
    </row>
    <row r="56" spans="1:5" s="40" customFormat="1" x14ac:dyDescent="0.2">
      <c r="A56" s="293" t="s">
        <v>161</v>
      </c>
      <c r="B56" s="46">
        <v>3</v>
      </c>
      <c r="C56" s="46">
        <v>0</v>
      </c>
      <c r="D56" s="661">
        <v>0</v>
      </c>
      <c r="E56" s="46">
        <v>0</v>
      </c>
    </row>
    <row r="57" spans="1:5" s="40" customFormat="1" x14ac:dyDescent="0.2">
      <c r="A57" s="294" t="s">
        <v>162</v>
      </c>
      <c r="B57" s="52">
        <v>2</v>
      </c>
      <c r="C57" s="52">
        <v>0</v>
      </c>
      <c r="D57" s="646">
        <v>0</v>
      </c>
      <c r="E57" s="52">
        <v>0</v>
      </c>
    </row>
    <row r="58" spans="1:5" s="40" customFormat="1" x14ac:dyDescent="0.2">
      <c r="A58" s="293" t="s">
        <v>163</v>
      </c>
      <c r="B58" s="46">
        <v>0</v>
      </c>
      <c r="C58" s="46">
        <v>0</v>
      </c>
      <c r="D58" s="661">
        <v>0</v>
      </c>
      <c r="E58" s="46">
        <v>0</v>
      </c>
    </row>
    <row r="59" spans="1:5" s="40" customFormat="1" x14ac:dyDescent="0.2">
      <c r="A59" s="294" t="s">
        <v>164</v>
      </c>
      <c r="B59" s="52">
        <v>0</v>
      </c>
      <c r="C59" s="52">
        <v>0</v>
      </c>
      <c r="D59" s="646">
        <v>0</v>
      </c>
      <c r="E59" s="52">
        <v>0</v>
      </c>
    </row>
    <row r="60" spans="1:5" x14ac:dyDescent="0.2">
      <c r="A60" s="29" t="s">
        <v>165</v>
      </c>
      <c r="B60" s="53"/>
      <c r="C60" s="53"/>
      <c r="D60" s="53"/>
      <c r="E60" s="34"/>
    </row>
    <row r="61" spans="1:5" x14ac:dyDescent="0.2">
      <c r="A61" s="36" t="str">
        <f>A110</f>
        <v>Pilot Upper Limit</v>
      </c>
      <c r="B61" s="145">
        <f>$B110</f>
        <v>12</v>
      </c>
      <c r="C61" s="145">
        <f>$B110</f>
        <v>12</v>
      </c>
      <c r="D61" s="656">
        <f>$B110</f>
        <v>12</v>
      </c>
      <c r="E61" s="145">
        <f>$B110</f>
        <v>12</v>
      </c>
    </row>
    <row r="62" spans="1:5" x14ac:dyDescent="0.2">
      <c r="A62" s="36" t="str">
        <f t="shared" ref="A62:A92" si="16">A111</f>
        <v>Pilot Lower Limit</v>
      </c>
      <c r="B62" s="146">
        <f>IF($B111 = 0,"N/A",ROUNDUP(IF(B$13="Deploy",MAX((B$104/100)*$B111,$B111),(B$104/100)*$B111),0))</f>
        <v>12</v>
      </c>
      <c r="C62" s="146">
        <f>IF($B111 = 0,"N/A",ROUNDUP(IF(C$13="Deploy",MAX((C$104/100)*$B111,$B111),(C$104/100)*$B111),0))</f>
        <v>8</v>
      </c>
      <c r="D62" s="657">
        <f>IF($B111 = 0,"N/A",ROUNDUP(IF(D$13="Deploy",MAX((D$104/100)*$B111,$B111),(D$104/100)*$B111),0))</f>
        <v>5</v>
      </c>
      <c r="E62" s="146">
        <f>IF($B111 = 0,"N/A",ROUNDUP(IF(E$13="Deploy",MAX((E$104/100)*$B111,$B111),(E$104/100)*$B111),0))</f>
        <v>4</v>
      </c>
    </row>
    <row r="63" spans="1:5" x14ac:dyDescent="0.2">
      <c r="A63" s="36" t="str">
        <f t="shared" si="16"/>
        <v>MRWMC Pilots</v>
      </c>
      <c r="B63" s="146" t="str">
        <f t="shared" ref="B63:B77" si="17">IF($B112 = "NA","NA",ROUNDUP(IF(B$13="Deploy",MAX((B$104/100)*$B112,$B112),(B$104/100)*$B112),0))</f>
        <v>NA</v>
      </c>
      <c r="C63" s="146" t="str">
        <f t="shared" ref="C63:E63" si="18">IF($B112 = "NA","NA",ROUNDUP(IF(C$13="Deploy",MAX((C$104/100)*$B112,$B112),(C$104/100)*$B112),0))</f>
        <v>NA</v>
      </c>
      <c r="D63" s="657" t="str">
        <f t="shared" si="18"/>
        <v>NA</v>
      </c>
      <c r="E63" s="146" t="str">
        <f t="shared" si="18"/>
        <v>NA</v>
      </c>
    </row>
    <row r="64" spans="1:5" x14ac:dyDescent="0.2">
      <c r="A64" s="36" t="str">
        <f t="shared" si="16"/>
        <v>≥ Level 4 Pilots</v>
      </c>
      <c r="B64" s="146">
        <f t="shared" si="17"/>
        <v>1</v>
      </c>
      <c r="C64" s="146">
        <f t="shared" ref="C64:E77" si="19">IF($B113 = "NA","NA",ROUNDUP(IF(C$13="Deploy",MAX((C$104/100)*$B113,$B113),(C$104/100)*$B113),0))</f>
        <v>1</v>
      </c>
      <c r="D64" s="657">
        <f t="shared" si="19"/>
        <v>1</v>
      </c>
      <c r="E64" s="146">
        <f t="shared" si="19"/>
        <v>1</v>
      </c>
    </row>
    <row r="65" spans="1:5" x14ac:dyDescent="0.2">
      <c r="A65" s="36" t="str">
        <f t="shared" si="16"/>
        <v>≥ Level 3 Pilots</v>
      </c>
      <c r="B65" s="146">
        <f t="shared" si="17"/>
        <v>2</v>
      </c>
      <c r="C65" s="146">
        <f t="shared" si="19"/>
        <v>2</v>
      </c>
      <c r="D65" s="657">
        <f t="shared" si="19"/>
        <v>1</v>
      </c>
      <c r="E65" s="146">
        <f t="shared" si="19"/>
        <v>1</v>
      </c>
    </row>
    <row r="66" spans="1:5" x14ac:dyDescent="0.2">
      <c r="A66" s="36" t="str">
        <f t="shared" si="16"/>
        <v>≥ Level 2 Pilots</v>
      </c>
      <c r="B66" s="146">
        <f t="shared" si="17"/>
        <v>6</v>
      </c>
      <c r="C66" s="146">
        <f t="shared" si="19"/>
        <v>4</v>
      </c>
      <c r="D66" s="657">
        <f t="shared" si="19"/>
        <v>3</v>
      </c>
      <c r="E66" s="146">
        <f t="shared" si="19"/>
        <v>2</v>
      </c>
    </row>
    <row r="67" spans="1:5" x14ac:dyDescent="0.2">
      <c r="A67" s="36" t="str">
        <f t="shared" si="16"/>
        <v>≥ Level 1 Pilots</v>
      </c>
      <c r="B67" s="146">
        <f t="shared" si="17"/>
        <v>12</v>
      </c>
      <c r="C67" s="146">
        <f t="shared" si="19"/>
        <v>8</v>
      </c>
      <c r="D67" s="657">
        <f t="shared" si="19"/>
        <v>5</v>
      </c>
      <c r="E67" s="146">
        <f t="shared" si="19"/>
        <v>4</v>
      </c>
    </row>
    <row r="68" spans="1:5" x14ac:dyDescent="0.2">
      <c r="A68" s="36" t="str">
        <f t="shared" si="16"/>
        <v>≥ PR/SOF 4 Pilots</v>
      </c>
      <c r="B68" s="146">
        <f t="shared" si="17"/>
        <v>1</v>
      </c>
      <c r="C68" s="146">
        <f t="shared" si="19"/>
        <v>1</v>
      </c>
      <c r="D68" s="657">
        <f t="shared" si="19"/>
        <v>1</v>
      </c>
      <c r="E68" s="146">
        <f t="shared" si="19"/>
        <v>1</v>
      </c>
    </row>
    <row r="69" spans="1:5" x14ac:dyDescent="0.2">
      <c r="A69" s="36" t="str">
        <f t="shared" si="16"/>
        <v>≥ PR/SOF 3 Pilots</v>
      </c>
      <c r="B69" s="146">
        <f t="shared" si="17"/>
        <v>1</v>
      </c>
      <c r="C69" s="146">
        <f t="shared" si="19"/>
        <v>1</v>
      </c>
      <c r="D69" s="657">
        <f t="shared" si="19"/>
        <v>1</v>
      </c>
      <c r="E69" s="146">
        <f t="shared" si="19"/>
        <v>1</v>
      </c>
    </row>
    <row r="70" spans="1:5" x14ac:dyDescent="0.2">
      <c r="A70" s="36" t="str">
        <f t="shared" si="16"/>
        <v>≥ PR/SOF 2 Pilots</v>
      </c>
      <c r="B70" s="146">
        <f t="shared" si="17"/>
        <v>2</v>
      </c>
      <c r="C70" s="146">
        <f t="shared" si="19"/>
        <v>2</v>
      </c>
      <c r="D70" s="657">
        <f t="shared" si="19"/>
        <v>1</v>
      </c>
      <c r="E70" s="146">
        <f t="shared" si="19"/>
        <v>1</v>
      </c>
    </row>
    <row r="71" spans="1:5" x14ac:dyDescent="0.2">
      <c r="A71" s="36" t="str">
        <f t="shared" si="16"/>
        <v>≥ PR/SOF 1 Pilots</v>
      </c>
      <c r="B71" s="146">
        <f t="shared" si="17"/>
        <v>2</v>
      </c>
      <c r="C71" s="146">
        <f t="shared" si="19"/>
        <v>2</v>
      </c>
      <c r="D71" s="657">
        <f t="shared" si="19"/>
        <v>1</v>
      </c>
      <c r="E71" s="146">
        <f t="shared" si="19"/>
        <v>1</v>
      </c>
    </row>
    <row r="72" spans="1:5" x14ac:dyDescent="0.2">
      <c r="A72" s="36" t="str">
        <f t="shared" si="16"/>
        <v>≥ MIW Level 2 Pilots</v>
      </c>
      <c r="B72" s="146" t="str">
        <f t="shared" si="17"/>
        <v>NA</v>
      </c>
      <c r="C72" s="146" t="str">
        <f t="shared" si="19"/>
        <v>NA</v>
      </c>
      <c r="D72" s="657" t="str">
        <f t="shared" si="19"/>
        <v>NA</v>
      </c>
      <c r="E72" s="146" t="str">
        <f t="shared" si="19"/>
        <v>NA</v>
      </c>
    </row>
    <row r="73" spans="1:5" x14ac:dyDescent="0.2">
      <c r="A73" s="36" t="str">
        <f t="shared" si="16"/>
        <v>≥ MIW Level 1 Pilots</v>
      </c>
      <c r="B73" s="146" t="str">
        <f t="shared" si="17"/>
        <v>NA</v>
      </c>
      <c r="C73" s="146" t="str">
        <f t="shared" si="19"/>
        <v>NA</v>
      </c>
      <c r="D73" s="657" t="str">
        <f t="shared" si="19"/>
        <v>NA</v>
      </c>
      <c r="E73" s="146" t="str">
        <f t="shared" si="19"/>
        <v>NA</v>
      </c>
    </row>
    <row r="74" spans="1:5" x14ac:dyDescent="0.2">
      <c r="A74" s="36" t="str">
        <f t="shared" si="16"/>
        <v>≥ TAC Level 4 Pilots</v>
      </c>
      <c r="B74" s="146" t="str">
        <f t="shared" si="17"/>
        <v>NA</v>
      </c>
      <c r="C74" s="146" t="str">
        <f t="shared" si="19"/>
        <v>NA</v>
      </c>
      <c r="D74" s="657" t="str">
        <f t="shared" si="19"/>
        <v>NA</v>
      </c>
      <c r="E74" s="146" t="str">
        <f t="shared" si="19"/>
        <v>NA</v>
      </c>
    </row>
    <row r="75" spans="1:5" x14ac:dyDescent="0.2">
      <c r="A75" s="36" t="str">
        <f t="shared" si="16"/>
        <v>≥ TAC Level 3 Pilots</v>
      </c>
      <c r="B75" s="146" t="str">
        <f t="shared" si="17"/>
        <v>NA</v>
      </c>
      <c r="C75" s="146" t="str">
        <f t="shared" si="19"/>
        <v>NA</v>
      </c>
      <c r="D75" s="657" t="str">
        <f t="shared" si="19"/>
        <v>NA</v>
      </c>
      <c r="E75" s="146" t="str">
        <f t="shared" si="19"/>
        <v>NA</v>
      </c>
    </row>
    <row r="76" spans="1:5" x14ac:dyDescent="0.2">
      <c r="A76" s="36" t="str">
        <f t="shared" si="16"/>
        <v>≥ TAC Level 2 Pilots</v>
      </c>
      <c r="B76" s="146" t="str">
        <f t="shared" si="17"/>
        <v>NA</v>
      </c>
      <c r="C76" s="146" t="str">
        <f t="shared" si="19"/>
        <v>NA</v>
      </c>
      <c r="D76" s="657" t="str">
        <f t="shared" si="19"/>
        <v>NA</v>
      </c>
      <c r="E76" s="146" t="str">
        <f t="shared" si="19"/>
        <v>NA</v>
      </c>
    </row>
    <row r="77" spans="1:5" x14ac:dyDescent="0.2">
      <c r="A77" s="36" t="str">
        <f t="shared" si="16"/>
        <v>Mountain Flying School Pilots</v>
      </c>
      <c r="B77" s="146">
        <f t="shared" si="17"/>
        <v>1</v>
      </c>
      <c r="C77" s="146">
        <f t="shared" si="19"/>
        <v>1</v>
      </c>
      <c r="D77" s="657">
        <f t="shared" si="19"/>
        <v>1</v>
      </c>
      <c r="E77" s="146">
        <f t="shared" si="19"/>
        <v>1</v>
      </c>
    </row>
    <row r="78" spans="1:5" x14ac:dyDescent="0.2">
      <c r="A78" s="36" t="str">
        <f t="shared" si="16"/>
        <v>Aircrew Upper Limit</v>
      </c>
      <c r="B78" s="146">
        <f>$B$127</f>
        <v>12</v>
      </c>
      <c r="C78" s="146">
        <f t="shared" ref="C78:E78" si="20">$B$127</f>
        <v>12</v>
      </c>
      <c r="D78" s="657">
        <f t="shared" si="20"/>
        <v>12</v>
      </c>
      <c r="E78" s="146">
        <f t="shared" si="20"/>
        <v>12</v>
      </c>
    </row>
    <row r="79" spans="1:5" x14ac:dyDescent="0.2">
      <c r="A79" s="36" t="str">
        <f t="shared" si="16"/>
        <v>Aircrew Lower Limit</v>
      </c>
      <c r="B79" s="146">
        <f t="shared" ref="B79:E92" si="21">IF($B128 = "NA","NA",ROUNDUP(IF(B$13="Deploy",MAX((B$104/100)*$B128,$B128),(B$104/100)*$B128),0))</f>
        <v>12</v>
      </c>
      <c r="C79" s="146">
        <f t="shared" si="21"/>
        <v>8</v>
      </c>
      <c r="D79" s="657">
        <f t="shared" si="21"/>
        <v>5</v>
      </c>
      <c r="E79" s="146">
        <f t="shared" si="21"/>
        <v>4</v>
      </c>
    </row>
    <row r="80" spans="1:5" x14ac:dyDescent="0.2">
      <c r="A80" s="36" t="str">
        <f t="shared" si="16"/>
        <v>≥ Level 3 Aircrewmen</v>
      </c>
      <c r="B80" s="146">
        <f t="shared" si="21"/>
        <v>2</v>
      </c>
      <c r="C80" s="146">
        <f t="shared" si="21"/>
        <v>2</v>
      </c>
      <c r="D80" s="657">
        <f t="shared" si="21"/>
        <v>1</v>
      </c>
      <c r="E80" s="146">
        <f t="shared" si="21"/>
        <v>1</v>
      </c>
    </row>
    <row r="81" spans="1:8" x14ac:dyDescent="0.2">
      <c r="A81" s="36" t="str">
        <f t="shared" si="16"/>
        <v>≥ Level 2 Aircrewmen</v>
      </c>
      <c r="B81" s="146">
        <f t="shared" si="21"/>
        <v>12</v>
      </c>
      <c r="C81" s="146">
        <f t="shared" si="21"/>
        <v>8</v>
      </c>
      <c r="D81" s="657">
        <f t="shared" si="21"/>
        <v>5</v>
      </c>
      <c r="E81" s="146">
        <f t="shared" si="21"/>
        <v>4</v>
      </c>
    </row>
    <row r="82" spans="1:8" x14ac:dyDescent="0.2">
      <c r="A82" s="36" t="str">
        <f t="shared" si="16"/>
        <v>≥ Level 1 Aircrewmen</v>
      </c>
      <c r="B82" s="146">
        <f t="shared" si="21"/>
        <v>12</v>
      </c>
      <c r="C82" s="146">
        <f t="shared" si="21"/>
        <v>8</v>
      </c>
      <c r="D82" s="657">
        <f t="shared" si="21"/>
        <v>5</v>
      </c>
      <c r="E82" s="146">
        <f t="shared" si="21"/>
        <v>4</v>
      </c>
    </row>
    <row r="83" spans="1:8" x14ac:dyDescent="0.2">
      <c r="A83" s="36" t="str">
        <f t="shared" si="16"/>
        <v>≥ PR/SOF 3 Aircrewmen</v>
      </c>
      <c r="B83" s="146">
        <f t="shared" si="21"/>
        <v>2</v>
      </c>
      <c r="C83" s="146">
        <f t="shared" si="21"/>
        <v>2</v>
      </c>
      <c r="D83" s="657">
        <f t="shared" si="21"/>
        <v>1</v>
      </c>
      <c r="E83" s="146">
        <f t="shared" si="21"/>
        <v>1</v>
      </c>
    </row>
    <row r="84" spans="1:8" x14ac:dyDescent="0.2">
      <c r="A84" s="36" t="str">
        <f t="shared" si="16"/>
        <v>≥ MIW Level 2 Aircrewmen</v>
      </c>
      <c r="B84" s="146" t="str">
        <f t="shared" si="21"/>
        <v>NA</v>
      </c>
      <c r="C84" s="146" t="str">
        <f t="shared" si="21"/>
        <v>NA</v>
      </c>
      <c r="D84" s="657" t="str">
        <f t="shared" si="21"/>
        <v>NA</v>
      </c>
      <c r="E84" s="146" t="str">
        <f t="shared" si="21"/>
        <v>NA</v>
      </c>
    </row>
    <row r="85" spans="1:8" x14ac:dyDescent="0.2">
      <c r="A85" s="36" t="str">
        <f t="shared" si="16"/>
        <v>≥ MIW Level 1 Aircrewmen</v>
      </c>
      <c r="B85" s="146" t="str">
        <f t="shared" si="21"/>
        <v>NA</v>
      </c>
      <c r="C85" s="146" t="str">
        <f t="shared" si="21"/>
        <v>NA</v>
      </c>
      <c r="D85" s="657" t="str">
        <f t="shared" si="21"/>
        <v>NA</v>
      </c>
      <c r="E85" s="146" t="str">
        <f t="shared" si="21"/>
        <v>NA</v>
      </c>
    </row>
    <row r="86" spans="1:8" x14ac:dyDescent="0.2">
      <c r="A86" s="36" t="str">
        <f t="shared" si="16"/>
        <v>≥ TAC Level 3 Aircrewmen</v>
      </c>
      <c r="B86" s="146" t="str">
        <f t="shared" si="21"/>
        <v>NA</v>
      </c>
      <c r="C86" s="146" t="str">
        <f t="shared" si="21"/>
        <v>NA</v>
      </c>
      <c r="D86" s="657" t="str">
        <f t="shared" si="21"/>
        <v>NA</v>
      </c>
      <c r="E86" s="146" t="str">
        <f t="shared" si="21"/>
        <v>NA</v>
      </c>
    </row>
    <row r="87" spans="1:8" x14ac:dyDescent="0.2">
      <c r="A87" s="36" t="str">
        <f t="shared" si="16"/>
        <v>≥ TAC Level 2 Aircrewmen</v>
      </c>
      <c r="B87" s="146" t="str">
        <f t="shared" si="21"/>
        <v>NA</v>
      </c>
      <c r="C87" s="146" t="str">
        <f t="shared" si="21"/>
        <v>NA</v>
      </c>
      <c r="D87" s="657" t="str">
        <f t="shared" si="21"/>
        <v>NA</v>
      </c>
      <c r="E87" s="146" t="str">
        <f t="shared" si="21"/>
        <v>NA</v>
      </c>
    </row>
    <row r="88" spans="1:8" x14ac:dyDescent="0.2">
      <c r="A88" s="36" t="str">
        <f t="shared" si="16"/>
        <v>Aerial Gunnery Instructor (AGI) Aircrewmen</v>
      </c>
      <c r="B88" s="146">
        <f t="shared" si="21"/>
        <v>1</v>
      </c>
      <c r="C88" s="146">
        <f t="shared" si="21"/>
        <v>1</v>
      </c>
      <c r="D88" s="657">
        <f t="shared" si="21"/>
        <v>1</v>
      </c>
      <c r="E88" s="146">
        <f t="shared" si="21"/>
        <v>1</v>
      </c>
    </row>
    <row r="89" spans="1:8" x14ac:dyDescent="0.2">
      <c r="A89" s="36" t="str">
        <f t="shared" si="16"/>
        <v>Aerial Gunner (AG) Aircrewmen</v>
      </c>
      <c r="B89" s="146">
        <f t="shared" si="21"/>
        <v>12</v>
      </c>
      <c r="C89" s="146">
        <f t="shared" si="21"/>
        <v>8</v>
      </c>
      <c r="D89" s="657">
        <f t="shared" si="21"/>
        <v>5</v>
      </c>
      <c r="E89" s="146">
        <f t="shared" si="21"/>
        <v>4</v>
      </c>
    </row>
    <row r="90" spans="1:8" x14ac:dyDescent="0.2">
      <c r="A90" s="36" t="str">
        <f t="shared" si="16"/>
        <v>Mountain Flying School Aircrewmen</v>
      </c>
      <c r="B90" s="146">
        <f t="shared" si="21"/>
        <v>1</v>
      </c>
      <c r="C90" s="146">
        <f t="shared" si="21"/>
        <v>1</v>
      </c>
      <c r="D90" s="657">
        <f t="shared" si="21"/>
        <v>1</v>
      </c>
      <c r="E90" s="146">
        <f t="shared" si="21"/>
        <v>1</v>
      </c>
    </row>
    <row r="91" spans="1:8" x14ac:dyDescent="0.2">
      <c r="A91" s="36" t="str">
        <f t="shared" si="16"/>
        <v>≥ HM (Paramedic) Aircrewmen</v>
      </c>
      <c r="B91" s="146" t="str">
        <f t="shared" si="21"/>
        <v>NA</v>
      </c>
      <c r="C91" s="146" t="str">
        <f t="shared" si="21"/>
        <v>NA</v>
      </c>
      <c r="D91" s="657" t="str">
        <f t="shared" si="21"/>
        <v>NA</v>
      </c>
      <c r="E91" s="146" t="str">
        <f t="shared" si="21"/>
        <v>NA</v>
      </c>
    </row>
    <row r="92" spans="1:8" x14ac:dyDescent="0.2">
      <c r="A92" s="36" t="str">
        <f t="shared" si="16"/>
        <v>Required Skilled Crews</v>
      </c>
      <c r="B92" s="146">
        <f t="shared" si="21"/>
        <v>6</v>
      </c>
      <c r="C92" s="146">
        <f t="shared" si="21"/>
        <v>4</v>
      </c>
      <c r="D92" s="657">
        <f t="shared" si="21"/>
        <v>3</v>
      </c>
      <c r="E92" s="146">
        <f t="shared" si="21"/>
        <v>2</v>
      </c>
    </row>
    <row r="93" spans="1:8" x14ac:dyDescent="0.2">
      <c r="A93" s="68"/>
      <c r="B93" s="68"/>
      <c r="C93" s="68"/>
      <c r="D93" s="68"/>
      <c r="F93" s="68"/>
      <c r="G93" s="68"/>
      <c r="H93" s="62"/>
    </row>
    <row r="94" spans="1:8" x14ac:dyDescent="0.2">
      <c r="A94" s="68"/>
      <c r="B94" s="68"/>
      <c r="C94" s="68"/>
      <c r="D94" s="68"/>
      <c r="F94" s="68"/>
      <c r="G94" s="68"/>
      <c r="H94" s="62"/>
    </row>
    <row r="95" spans="1:8" x14ac:dyDescent="0.2">
      <c r="A95" s="68"/>
      <c r="B95" s="68"/>
      <c r="C95" s="68"/>
      <c r="D95" s="68"/>
      <c r="F95" s="68"/>
      <c r="G95" s="68"/>
      <c r="H95" s="62"/>
    </row>
    <row r="96" spans="1:8" x14ac:dyDescent="0.2">
      <c r="A96" s="68"/>
      <c r="B96" s="68"/>
      <c r="C96" s="68"/>
      <c r="D96" s="68"/>
      <c r="F96" s="68"/>
      <c r="G96" s="68"/>
      <c r="H96" s="62"/>
    </row>
    <row r="97" spans="1:21" ht="12.75" thickBot="1" x14ac:dyDescent="0.25">
      <c r="A97" s="68"/>
      <c r="B97" s="68"/>
      <c r="C97" s="68"/>
      <c r="D97" s="68"/>
      <c r="F97" s="68"/>
      <c r="G97" s="68"/>
      <c r="H97" s="62"/>
    </row>
    <row r="98" spans="1:21" ht="13.5" customHeight="1" thickBot="1" x14ac:dyDescent="0.25">
      <c r="A98" s="773" t="s">
        <v>170</v>
      </c>
      <c r="B98" s="774"/>
      <c r="C98" s="774"/>
      <c r="D98" s="774"/>
      <c r="E98" s="775"/>
      <c r="F98" s="107"/>
      <c r="G98" s="107"/>
      <c r="H98" s="107"/>
    </row>
    <row r="99" spans="1:21" x14ac:dyDescent="0.2">
      <c r="A99" s="148" t="s">
        <v>171</v>
      </c>
      <c r="B99" s="158">
        <f>MIN(100,B101+$B$105)</f>
        <v>100</v>
      </c>
      <c r="C99" s="158">
        <f t="shared" ref="C99:D99" si="22">MIN(100,C101+$B$105)</f>
        <v>81.5</v>
      </c>
      <c r="D99" s="159">
        <f t="shared" si="22"/>
        <v>58.5</v>
      </c>
      <c r="E99" s="149">
        <f>MIN(100,E101+$B105)</f>
        <v>51.5</v>
      </c>
      <c r="F99" s="108"/>
      <c r="G99" s="108"/>
      <c r="H99" s="108"/>
    </row>
    <row r="100" spans="1:21" x14ac:dyDescent="0.2">
      <c r="A100" s="54" t="s">
        <v>172</v>
      </c>
      <c r="B100" s="101">
        <f>MIN(100,B101+$B$106)</f>
        <v>100</v>
      </c>
      <c r="C100" s="101">
        <f t="shared" ref="C100:D100" si="23">MIN(100,C101+$B$106)</f>
        <v>75</v>
      </c>
      <c r="D100" s="160">
        <f t="shared" si="23"/>
        <v>52</v>
      </c>
      <c r="E100" s="56">
        <f>MIN(100,E101+$B106)</f>
        <v>45</v>
      </c>
      <c r="F100" s="108"/>
      <c r="G100" s="108"/>
      <c r="H100" s="108"/>
    </row>
    <row r="101" spans="1:21" x14ac:dyDescent="0.2">
      <c r="A101" s="54" t="s">
        <v>173</v>
      </c>
      <c r="B101" s="102">
        <v>100</v>
      </c>
      <c r="C101" s="102">
        <v>60</v>
      </c>
      <c r="D101" s="161">
        <v>37</v>
      </c>
      <c r="E101" s="70">
        <v>30</v>
      </c>
      <c r="F101" s="109"/>
      <c r="G101" s="109"/>
      <c r="H101" s="109"/>
      <c r="I101" s="100"/>
      <c r="J101" s="100"/>
      <c r="K101" s="100"/>
      <c r="L101" s="100"/>
      <c r="M101" s="100"/>
      <c r="N101" s="100"/>
    </row>
    <row r="102" spans="1:21" s="72" customFormat="1" x14ac:dyDescent="0.2">
      <c r="A102" s="54" t="s">
        <v>174</v>
      </c>
      <c r="B102" s="101">
        <f>MIN(80,IF(B13="Deploy",80,MAX(0,B101-$B$106)))</f>
        <v>80</v>
      </c>
      <c r="C102" s="101">
        <f>MIN(80,IF(C13="Deploy",80,MAX(0,C101-$B$106)))</f>
        <v>45</v>
      </c>
      <c r="D102" s="160">
        <f>MIN(80,IF(D13="Deploy",80,MAX(0,D101-$B$106)))</f>
        <v>22</v>
      </c>
      <c r="E102" s="56">
        <f>MIN(80,IF(E$13="Deploy",80,MAX(0,E101-$B106)))</f>
        <v>15</v>
      </c>
      <c r="F102" s="108"/>
      <c r="G102" s="108"/>
      <c r="H102" s="108"/>
      <c r="I102" s="28"/>
      <c r="J102" s="28"/>
      <c r="K102" s="28"/>
      <c r="L102" s="28"/>
      <c r="M102" s="28"/>
      <c r="N102" s="28"/>
      <c r="O102" s="28"/>
      <c r="P102" s="28"/>
      <c r="Q102" s="28"/>
      <c r="R102" s="28"/>
      <c r="S102" s="28"/>
      <c r="T102" s="28"/>
      <c r="U102" s="28"/>
    </row>
    <row r="103" spans="1:21" s="72" customFormat="1" ht="12.75" thickBot="1" x14ac:dyDescent="0.25">
      <c r="A103" s="57" t="s">
        <v>175</v>
      </c>
      <c r="B103" s="103">
        <f>MIN(60,IF(B13="Deploy",60,MAX(0,B101-$B$105)))</f>
        <v>60</v>
      </c>
      <c r="C103" s="103">
        <f>MIN(60,IF(C13="Deploy",60,MAX(0,C101-$B$105)))</f>
        <v>38.5</v>
      </c>
      <c r="D103" s="162">
        <f>MIN(60,IF(D13="Deploy",60,MAX(0,D101-$B$105)))</f>
        <v>15.5</v>
      </c>
      <c r="E103" s="59">
        <f>MIN(80,IF(E$13="Deploy",60,MAX(0,E101-$B105)))</f>
        <v>8.5</v>
      </c>
      <c r="F103" s="108"/>
      <c r="G103" s="108"/>
      <c r="H103" s="108"/>
      <c r="I103" s="28"/>
      <c r="J103" s="28"/>
      <c r="K103" s="28"/>
      <c r="L103" s="28"/>
      <c r="M103" s="28"/>
      <c r="N103" s="28"/>
      <c r="O103" s="28"/>
      <c r="P103" s="28"/>
      <c r="Q103" s="28"/>
      <c r="R103" s="28"/>
      <c r="S103" s="28"/>
      <c r="T103" s="28"/>
      <c r="U103" s="28"/>
    </row>
    <row r="104" spans="1:21" s="72" customFormat="1" ht="12.75" thickBot="1" x14ac:dyDescent="0.25">
      <c r="A104" s="219" t="s">
        <v>176</v>
      </c>
      <c r="B104" s="220">
        <v>100</v>
      </c>
      <c r="C104" s="220">
        <v>60</v>
      </c>
      <c r="D104" s="221">
        <v>37</v>
      </c>
      <c r="E104" s="222">
        <v>30</v>
      </c>
      <c r="F104" s="108"/>
      <c r="G104" s="108"/>
      <c r="H104" s="108"/>
      <c r="I104" s="28"/>
      <c r="J104" s="28"/>
      <c r="K104" s="28"/>
      <c r="L104" s="28"/>
      <c r="M104" s="28"/>
      <c r="N104" s="28"/>
      <c r="O104" s="28"/>
      <c r="P104" s="28"/>
      <c r="Q104" s="28"/>
      <c r="R104" s="28"/>
      <c r="S104" s="28"/>
      <c r="T104" s="28"/>
      <c r="U104" s="28"/>
    </row>
    <row r="105" spans="1:21" s="72" customFormat="1" x14ac:dyDescent="0.2">
      <c r="A105" s="78" t="s">
        <v>177</v>
      </c>
      <c r="B105" s="104">
        <v>21.5</v>
      </c>
      <c r="C105" s="105"/>
      <c r="D105" s="105"/>
      <c r="E105" s="61"/>
      <c r="F105" s="61"/>
      <c r="G105" s="61"/>
      <c r="H105" s="61"/>
      <c r="I105" s="28"/>
    </row>
    <row r="106" spans="1:21" s="72" customFormat="1" ht="12.75" thickBot="1" x14ac:dyDescent="0.25">
      <c r="A106" s="80" t="s">
        <v>178</v>
      </c>
      <c r="B106" s="106">
        <v>15</v>
      </c>
      <c r="C106" s="105"/>
      <c r="D106" s="105"/>
      <c r="E106" s="28"/>
      <c r="F106" s="28"/>
      <c r="G106" s="28"/>
      <c r="H106" s="28"/>
      <c r="I106" s="28"/>
    </row>
    <row r="107" spans="1:21" s="72" customFormat="1" ht="12.75" thickBot="1" x14ac:dyDescent="0.25">
      <c r="A107" s="40"/>
      <c r="B107" s="40"/>
      <c r="C107" s="40"/>
      <c r="D107" s="40"/>
      <c r="E107" s="40"/>
      <c r="F107" s="40"/>
      <c r="G107" s="40"/>
      <c r="H107" s="40"/>
      <c r="I107" s="28"/>
    </row>
    <row r="108" spans="1:21" s="72" customFormat="1" ht="12.75" thickBot="1" x14ac:dyDescent="0.25">
      <c r="A108" s="776" t="s">
        <v>179</v>
      </c>
      <c r="B108" s="777"/>
      <c r="C108" s="28"/>
      <c r="D108" s="61"/>
      <c r="E108" s="61"/>
      <c r="F108" s="61"/>
      <c r="G108" s="61"/>
      <c r="H108" s="61"/>
      <c r="I108" s="28"/>
    </row>
    <row r="109" spans="1:21" s="72" customFormat="1" ht="12.75" thickBot="1" x14ac:dyDescent="0.25">
      <c r="A109" s="782" t="s">
        <v>180</v>
      </c>
      <c r="B109" s="783"/>
      <c r="C109" s="28"/>
      <c r="D109" s="61"/>
      <c r="E109" s="61"/>
      <c r="F109" s="61"/>
      <c r="G109" s="61"/>
      <c r="H109" s="61"/>
      <c r="I109" s="28"/>
    </row>
    <row r="110" spans="1:21" s="72" customFormat="1" ht="12.75" thickTop="1" x14ac:dyDescent="0.2">
      <c r="A110" s="281" t="s">
        <v>181</v>
      </c>
      <c r="B110" s="119">
        <v>12</v>
      </c>
      <c r="C110" s="28"/>
      <c r="D110" s="469"/>
      <c r="E110" s="469"/>
      <c r="F110" s="28"/>
      <c r="G110" s="28"/>
      <c r="H110" s="28"/>
      <c r="I110" s="28"/>
    </row>
    <row r="111" spans="1:21" s="72" customFormat="1" x14ac:dyDescent="0.2">
      <c r="A111" s="282" t="s">
        <v>182</v>
      </c>
      <c r="B111" s="91">
        <v>12</v>
      </c>
      <c r="C111" s="28"/>
      <c r="D111" s="469"/>
      <c r="E111" s="469"/>
      <c r="F111" s="28"/>
      <c r="G111" s="28"/>
      <c r="H111" s="28"/>
      <c r="I111" s="28"/>
    </row>
    <row r="112" spans="1:21" s="72" customFormat="1" x14ac:dyDescent="0.2">
      <c r="A112" s="282" t="s">
        <v>183</v>
      </c>
      <c r="B112" s="89" t="s">
        <v>193</v>
      </c>
      <c r="C112" s="28"/>
      <c r="D112" s="469"/>
      <c r="E112" s="469"/>
      <c r="F112" s="28"/>
      <c r="I112" s="28"/>
    </row>
    <row r="113" spans="1:9" s="72" customFormat="1" x14ac:dyDescent="0.2">
      <c r="A113" s="282" t="s">
        <v>184</v>
      </c>
      <c r="B113" s="91">
        <v>1</v>
      </c>
      <c r="C113" s="28"/>
      <c r="D113" s="469"/>
      <c r="E113" s="469"/>
      <c r="F113" s="28"/>
      <c r="I113" s="28"/>
    </row>
    <row r="114" spans="1:9" s="72" customFormat="1" x14ac:dyDescent="0.2">
      <c r="A114" s="282" t="s">
        <v>185</v>
      </c>
      <c r="B114" s="120">
        <v>2</v>
      </c>
      <c r="C114" s="28"/>
      <c r="D114" s="469"/>
      <c r="E114" s="469"/>
      <c r="F114" s="63"/>
      <c r="I114" s="28"/>
    </row>
    <row r="115" spans="1:9" s="72" customFormat="1" x14ac:dyDescent="0.2">
      <c r="A115" s="282" t="s">
        <v>186</v>
      </c>
      <c r="B115" s="120">
        <v>6</v>
      </c>
      <c r="C115" s="28"/>
      <c r="D115" s="469"/>
      <c r="E115" s="469"/>
      <c r="F115" s="64"/>
      <c r="I115" s="28"/>
    </row>
    <row r="116" spans="1:9" s="72" customFormat="1" x14ac:dyDescent="0.2">
      <c r="A116" s="282" t="s">
        <v>187</v>
      </c>
      <c r="B116" s="120">
        <v>12</v>
      </c>
      <c r="C116" s="28"/>
      <c r="D116" s="469"/>
      <c r="E116" s="469"/>
      <c r="F116" s="60"/>
      <c r="I116" s="28"/>
    </row>
    <row r="117" spans="1:9" s="72" customFormat="1" x14ac:dyDescent="0.2">
      <c r="A117" s="282" t="s">
        <v>188</v>
      </c>
      <c r="B117" s="91">
        <v>1</v>
      </c>
      <c r="C117" s="28"/>
      <c r="D117" s="469"/>
      <c r="E117" s="469"/>
      <c r="F117" s="60"/>
      <c r="I117" s="28"/>
    </row>
    <row r="118" spans="1:9" s="72" customFormat="1" x14ac:dyDescent="0.2">
      <c r="A118" s="282" t="s">
        <v>189</v>
      </c>
      <c r="B118" s="91">
        <v>1</v>
      </c>
      <c r="C118" s="28"/>
      <c r="D118" s="469"/>
      <c r="E118" s="469"/>
      <c r="F118" s="60"/>
      <c r="I118" s="28"/>
    </row>
    <row r="119" spans="1:9" s="72" customFormat="1" x14ac:dyDescent="0.2">
      <c r="A119" s="282" t="s">
        <v>190</v>
      </c>
      <c r="B119" s="91">
        <v>2</v>
      </c>
      <c r="C119" s="28"/>
      <c r="D119" s="469"/>
      <c r="E119" s="469"/>
      <c r="F119" s="60"/>
      <c r="I119" s="28"/>
    </row>
    <row r="120" spans="1:9" s="72" customFormat="1" x14ac:dyDescent="0.2">
      <c r="A120" s="282" t="s">
        <v>191</v>
      </c>
      <c r="B120" s="91">
        <v>2</v>
      </c>
      <c r="C120" s="28"/>
      <c r="D120" s="469"/>
      <c r="E120" s="469"/>
      <c r="F120" s="60"/>
      <c r="I120" s="28"/>
    </row>
    <row r="121" spans="1:9" s="72" customFormat="1" x14ac:dyDescent="0.2">
      <c r="A121" s="282" t="s">
        <v>192</v>
      </c>
      <c r="B121" s="91" t="s">
        <v>193</v>
      </c>
      <c r="C121" s="28"/>
      <c r="D121" s="469"/>
      <c r="E121" s="469"/>
      <c r="F121" s="75"/>
      <c r="I121" s="28"/>
    </row>
    <row r="122" spans="1:9" s="72" customFormat="1" x14ac:dyDescent="0.2">
      <c r="A122" s="282" t="s">
        <v>194</v>
      </c>
      <c r="B122" s="91" t="s">
        <v>193</v>
      </c>
      <c r="C122" s="28"/>
      <c r="D122" s="469"/>
      <c r="E122" s="469"/>
      <c r="F122" s="75"/>
      <c r="I122" s="28"/>
    </row>
    <row r="123" spans="1:9" s="72" customFormat="1" x14ac:dyDescent="0.2">
      <c r="A123" s="282" t="s">
        <v>195</v>
      </c>
      <c r="B123" s="91" t="s">
        <v>193</v>
      </c>
      <c r="C123" s="28"/>
      <c r="D123" s="469"/>
      <c r="E123" s="469"/>
      <c r="F123" s="75"/>
      <c r="I123" s="28"/>
    </row>
    <row r="124" spans="1:9" s="72" customFormat="1" x14ac:dyDescent="0.2">
      <c r="A124" s="282" t="s">
        <v>196</v>
      </c>
      <c r="B124" s="91" t="s">
        <v>193</v>
      </c>
      <c r="C124" s="28"/>
      <c r="D124" s="469"/>
      <c r="E124" s="469"/>
      <c r="F124" s="28"/>
      <c r="I124" s="28"/>
    </row>
    <row r="125" spans="1:9" s="72" customFormat="1" x14ac:dyDescent="0.2">
      <c r="A125" s="282" t="s">
        <v>197</v>
      </c>
      <c r="B125" s="91" t="s">
        <v>193</v>
      </c>
      <c r="C125" s="28"/>
      <c r="D125" s="469"/>
      <c r="E125" s="469"/>
      <c r="F125" s="28"/>
      <c r="I125" s="28"/>
    </row>
    <row r="126" spans="1:9" s="72" customFormat="1" x14ac:dyDescent="0.2">
      <c r="A126" s="282" t="s">
        <v>198</v>
      </c>
      <c r="B126" s="91">
        <v>1</v>
      </c>
      <c r="C126" s="28"/>
      <c r="D126" s="469"/>
      <c r="E126" s="469"/>
      <c r="F126" s="28"/>
      <c r="I126" s="28"/>
    </row>
    <row r="127" spans="1:9" s="72" customFormat="1" x14ac:dyDescent="0.2">
      <c r="A127" s="282" t="s">
        <v>199</v>
      </c>
      <c r="B127" s="91">
        <v>12</v>
      </c>
      <c r="C127" s="28"/>
      <c r="D127" s="469"/>
      <c r="E127" s="469"/>
      <c r="F127" s="28"/>
      <c r="I127" s="28"/>
    </row>
    <row r="128" spans="1:9" s="72" customFormat="1" x14ac:dyDescent="0.2">
      <c r="A128" s="282" t="s">
        <v>200</v>
      </c>
      <c r="B128" s="91">
        <v>12</v>
      </c>
      <c r="C128" s="28"/>
      <c r="D128" s="469"/>
      <c r="E128" s="469"/>
      <c r="F128" s="28"/>
      <c r="I128" s="28"/>
    </row>
    <row r="129" spans="1:9" s="72" customFormat="1" x14ac:dyDescent="0.2">
      <c r="A129" s="282" t="s">
        <v>201</v>
      </c>
      <c r="B129" s="91">
        <v>2</v>
      </c>
      <c r="C129" s="28"/>
      <c r="D129" s="469"/>
      <c r="E129" s="469"/>
      <c r="F129" s="28"/>
      <c r="I129" s="28"/>
    </row>
    <row r="130" spans="1:9" s="72" customFormat="1" x14ac:dyDescent="0.2">
      <c r="A130" s="282" t="s">
        <v>202</v>
      </c>
      <c r="B130" s="91">
        <v>12</v>
      </c>
      <c r="C130" s="28"/>
      <c r="D130" s="469"/>
      <c r="E130" s="469"/>
      <c r="F130" s="28"/>
      <c r="I130" s="28"/>
    </row>
    <row r="131" spans="1:9" s="72" customFormat="1" x14ac:dyDescent="0.2">
      <c r="A131" s="282" t="s">
        <v>203</v>
      </c>
      <c r="B131" s="91">
        <v>12</v>
      </c>
      <c r="C131" s="28"/>
      <c r="D131" s="469"/>
      <c r="E131" s="469"/>
      <c r="F131" s="28"/>
      <c r="I131" s="28"/>
    </row>
    <row r="132" spans="1:9" s="62" customFormat="1" x14ac:dyDescent="0.2">
      <c r="A132" s="282" t="s">
        <v>204</v>
      </c>
      <c r="B132" s="91">
        <v>2</v>
      </c>
      <c r="C132" s="61"/>
      <c r="D132" s="469"/>
      <c r="E132" s="469"/>
      <c r="F132" s="61"/>
      <c r="G132" s="61"/>
      <c r="H132" s="61"/>
      <c r="I132" s="61"/>
    </row>
    <row r="133" spans="1:9" s="62" customFormat="1" x14ac:dyDescent="0.2">
      <c r="A133" s="282" t="s">
        <v>205</v>
      </c>
      <c r="B133" s="91" t="s">
        <v>193</v>
      </c>
      <c r="C133" s="61"/>
      <c r="D133" s="469"/>
      <c r="E133" s="469"/>
      <c r="F133" s="61"/>
      <c r="G133" s="61"/>
      <c r="H133" s="61"/>
      <c r="I133" s="61"/>
    </row>
    <row r="134" spans="1:9" s="62" customFormat="1" x14ac:dyDescent="0.2">
      <c r="A134" s="282" t="s">
        <v>206</v>
      </c>
      <c r="B134" s="91" t="s">
        <v>193</v>
      </c>
      <c r="C134" s="61"/>
      <c r="D134" s="469"/>
      <c r="E134" s="469"/>
      <c r="F134" s="61"/>
      <c r="G134" s="61"/>
      <c r="H134" s="61"/>
      <c r="I134" s="61"/>
    </row>
    <row r="135" spans="1:9" s="62" customFormat="1" x14ac:dyDescent="0.2">
      <c r="A135" s="282" t="s">
        <v>207</v>
      </c>
      <c r="B135" s="91" t="s">
        <v>193</v>
      </c>
      <c r="C135" s="61"/>
      <c r="D135" s="469"/>
      <c r="E135" s="469"/>
      <c r="F135" s="61"/>
      <c r="G135" s="61"/>
      <c r="H135" s="61"/>
      <c r="I135" s="61"/>
    </row>
    <row r="136" spans="1:9" s="62" customFormat="1" x14ac:dyDescent="0.2">
      <c r="A136" s="282" t="s">
        <v>208</v>
      </c>
      <c r="B136" s="91" t="s">
        <v>193</v>
      </c>
      <c r="C136" s="61"/>
      <c r="D136" s="469"/>
      <c r="E136" s="469"/>
      <c r="F136" s="61"/>
      <c r="G136" s="61"/>
      <c r="H136" s="61"/>
      <c r="I136" s="61"/>
    </row>
    <row r="137" spans="1:9" s="62" customFormat="1" x14ac:dyDescent="0.2">
      <c r="A137" s="282" t="s">
        <v>209</v>
      </c>
      <c r="B137" s="91">
        <v>1</v>
      </c>
      <c r="C137" s="61"/>
      <c r="D137" s="469"/>
      <c r="E137" s="469"/>
      <c r="F137" s="61"/>
      <c r="G137" s="61"/>
      <c r="H137" s="61"/>
      <c r="I137" s="61"/>
    </row>
    <row r="138" spans="1:9" s="62" customFormat="1" x14ac:dyDescent="0.2">
      <c r="A138" s="282" t="s">
        <v>210</v>
      </c>
      <c r="B138" s="91">
        <v>12</v>
      </c>
      <c r="C138" s="61"/>
      <c r="D138" s="469"/>
      <c r="E138" s="469"/>
      <c r="F138" s="61"/>
      <c r="G138" s="61"/>
      <c r="H138" s="61"/>
      <c r="I138" s="61"/>
    </row>
    <row r="139" spans="1:9" s="62" customFormat="1" x14ac:dyDescent="0.2">
      <c r="A139" s="282" t="s">
        <v>211</v>
      </c>
      <c r="B139" s="91">
        <v>1</v>
      </c>
      <c r="C139" s="61"/>
      <c r="D139" s="469"/>
      <c r="E139" s="469"/>
      <c r="F139" s="61"/>
      <c r="G139" s="61"/>
      <c r="H139" s="61"/>
      <c r="I139" s="61"/>
    </row>
    <row r="140" spans="1:9" s="62" customFormat="1" x14ac:dyDescent="0.2">
      <c r="A140" s="282" t="s">
        <v>212</v>
      </c>
      <c r="B140" s="91" t="s">
        <v>193</v>
      </c>
      <c r="C140" s="61"/>
      <c r="D140" s="469"/>
      <c r="E140" s="469"/>
      <c r="F140" s="61"/>
      <c r="G140" s="61"/>
      <c r="H140" s="61"/>
      <c r="I140" s="61"/>
    </row>
    <row r="141" spans="1:9" s="62" customFormat="1" ht="12.75" thickBot="1" x14ac:dyDescent="0.25">
      <c r="A141" s="453" t="s">
        <v>213</v>
      </c>
      <c r="B141" s="93">
        <v>6</v>
      </c>
      <c r="C141" s="61"/>
      <c r="D141" s="469"/>
      <c r="E141" s="469"/>
      <c r="F141" s="61"/>
      <c r="G141" s="61"/>
      <c r="H141" s="61"/>
      <c r="I141" s="61"/>
    </row>
    <row r="142" spans="1:9" s="62" customFormat="1" ht="12.75" thickBot="1" x14ac:dyDescent="0.25">
      <c r="C142" s="61"/>
      <c r="D142" s="61"/>
      <c r="E142" s="61"/>
      <c r="F142" s="61"/>
      <c r="G142" s="61"/>
      <c r="H142" s="61"/>
      <c r="I142" s="61"/>
    </row>
    <row r="143" spans="1:9" s="62" customFormat="1" ht="13.5" thickBot="1" x14ac:dyDescent="0.25">
      <c r="A143" s="738" t="s">
        <v>214</v>
      </c>
      <c r="B143" s="739"/>
      <c r="C143" s="105"/>
      <c r="D143" s="105"/>
      <c r="E143" s="61"/>
      <c r="F143" s="61"/>
      <c r="G143" s="61"/>
      <c r="H143" s="61"/>
      <c r="I143" s="61"/>
    </row>
    <row r="144" spans="1:9" s="62" customFormat="1" x14ac:dyDescent="0.2">
      <c r="A144" s="126" t="s">
        <v>215</v>
      </c>
      <c r="B144" s="127"/>
      <c r="C144" s="127" t="s">
        <v>216</v>
      </c>
      <c r="D144" s="127" t="s">
        <v>216</v>
      </c>
      <c r="E144" s="130" t="s">
        <v>216</v>
      </c>
      <c r="F144" s="61"/>
      <c r="G144" s="61"/>
      <c r="H144" s="61"/>
      <c r="I144" s="61"/>
    </row>
    <row r="145" spans="1:10" s="62" customFormat="1" ht="12.75" thickBot="1" x14ac:dyDescent="0.25">
      <c r="A145" s="128" t="s">
        <v>217</v>
      </c>
      <c r="B145" s="129" t="s">
        <v>216</v>
      </c>
      <c r="C145" s="129"/>
      <c r="D145" s="129"/>
      <c r="E145" s="131"/>
      <c r="F145" s="61"/>
      <c r="G145" s="61"/>
      <c r="H145" s="61"/>
      <c r="I145" s="61"/>
    </row>
    <row r="146" spans="1:10" s="62" customFormat="1" ht="12.75" thickBot="1" x14ac:dyDescent="0.25">
      <c r="A146" s="121"/>
      <c r="B146" s="123"/>
      <c r="C146" s="61"/>
      <c r="D146" s="61"/>
      <c r="E146" s="61"/>
      <c r="F146" s="61"/>
      <c r="G146" s="61"/>
      <c r="H146" s="61"/>
      <c r="I146" s="61"/>
    </row>
    <row r="147" spans="1:10" s="62" customFormat="1" ht="13.5" thickBot="1" x14ac:dyDescent="0.25">
      <c r="A147" s="551" t="s">
        <v>261</v>
      </c>
      <c r="B147" s="740" t="s">
        <v>220</v>
      </c>
      <c r="C147" s="741"/>
      <c r="D147" s="742" t="s">
        <v>221</v>
      </c>
      <c r="E147" s="743"/>
      <c r="F147" s="744" t="s">
        <v>222</v>
      </c>
      <c r="G147" s="745"/>
      <c r="H147" s="28"/>
      <c r="I147" s="240" t="s">
        <v>223</v>
      </c>
      <c r="J147" s="72"/>
    </row>
    <row r="148" spans="1:10" s="61" customFormat="1" ht="13.5" thickBot="1" x14ac:dyDescent="0.25">
      <c r="A148" s="553" t="s">
        <v>224</v>
      </c>
      <c r="B148" s="297"/>
      <c r="C148" s="297"/>
      <c r="D148" s="297"/>
      <c r="E148" s="297"/>
      <c r="F148" s="297"/>
      <c r="G148" s="298"/>
      <c r="H148" s="28"/>
      <c r="I148" s="194" t="s">
        <v>62</v>
      </c>
      <c r="J148" s="28"/>
    </row>
    <row r="149" spans="1:10" x14ac:dyDescent="0.2">
      <c r="A149" s="555" t="s">
        <v>225</v>
      </c>
      <c r="B149" s="233">
        <v>4</v>
      </c>
      <c r="C149" s="233"/>
      <c r="D149" s="234">
        <v>3</v>
      </c>
      <c r="E149" s="234"/>
      <c r="F149" s="235">
        <v>2</v>
      </c>
      <c r="G149" s="236">
        <v>0</v>
      </c>
    </row>
    <row r="150" spans="1:10" ht="12.75" thickBot="1" x14ac:dyDescent="0.25">
      <c r="A150" s="555" t="s">
        <v>226</v>
      </c>
      <c r="B150" s="228">
        <v>4</v>
      </c>
      <c r="C150" s="228">
        <v>3</v>
      </c>
      <c r="D150" s="230">
        <v>2</v>
      </c>
      <c r="E150" s="230"/>
      <c r="F150" s="231">
        <v>1</v>
      </c>
      <c r="G150" s="232">
        <v>0</v>
      </c>
    </row>
    <row r="151" spans="1:10" ht="12.75" thickBot="1" x14ac:dyDescent="0.25">
      <c r="A151" s="553" t="str">
        <f t="shared" ref="A151:A172" si="24">A38</f>
        <v>Integrated Mission Systems</v>
      </c>
      <c r="B151" s="297"/>
      <c r="C151" s="297"/>
      <c r="D151" s="297"/>
      <c r="E151" s="297"/>
      <c r="F151" s="297"/>
      <c r="G151" s="298"/>
    </row>
    <row r="152" spans="1:10" x14ac:dyDescent="0.2">
      <c r="A152" s="556" t="str">
        <f t="shared" si="24"/>
        <v>Ready MH-60S Cargo Transport Mission Systems (C)</v>
      </c>
      <c r="B152" s="233">
        <f>$B$150</f>
        <v>4</v>
      </c>
      <c r="C152" s="233">
        <f>ROUND(MAX(B39:AC39),0)</f>
        <v>2</v>
      </c>
      <c r="D152" s="299">
        <v>1</v>
      </c>
      <c r="E152" s="299"/>
      <c r="F152" s="300"/>
      <c r="G152" s="301">
        <v>0</v>
      </c>
    </row>
    <row r="153" spans="1:10" x14ac:dyDescent="0.2">
      <c r="A153" s="555" t="str">
        <f t="shared" si="24"/>
        <v>Ready MH-60S Airborne Mine Counter Measures (AMCM) Mission Systems (D)</v>
      </c>
      <c r="B153" s="224" t="s">
        <v>227</v>
      </c>
      <c r="C153" s="233"/>
      <c r="D153" s="225"/>
      <c r="E153" s="225"/>
      <c r="F153" s="226"/>
      <c r="G153" s="227"/>
    </row>
    <row r="154" spans="1:10" x14ac:dyDescent="0.2">
      <c r="A154" s="555" t="str">
        <f t="shared" si="24"/>
        <v>Ready MH-60S Active/Passive Countermeasures Mission Systems (E)</v>
      </c>
      <c r="B154" s="224">
        <f>$B$150</f>
        <v>4</v>
      </c>
      <c r="C154" s="233">
        <f t="shared" ref="C154:C161" si="25">ROUND(MAX(B41:AC41),0)</f>
        <v>2</v>
      </c>
      <c r="D154" s="225">
        <v>1</v>
      </c>
      <c r="E154" s="225"/>
      <c r="F154" s="226"/>
      <c r="G154" s="227">
        <v>0</v>
      </c>
    </row>
    <row r="155" spans="1:10" x14ac:dyDescent="0.2">
      <c r="A155" s="555" t="str">
        <f t="shared" si="24"/>
        <v>Ready MH-60S CSAR, SUW, and Spec Warfare Mission Systems (F)</v>
      </c>
      <c r="B155" s="224">
        <f>$B$150</f>
        <v>4</v>
      </c>
      <c r="C155" s="233">
        <f t="shared" si="25"/>
        <v>2</v>
      </c>
      <c r="D155" s="225">
        <v>1</v>
      </c>
      <c r="E155" s="225"/>
      <c r="F155" s="226"/>
      <c r="G155" s="227">
        <v>0</v>
      </c>
    </row>
    <row r="156" spans="1:10" x14ac:dyDescent="0.2">
      <c r="A156" s="555" t="str">
        <f t="shared" si="24"/>
        <v>Ready MH-60S Personnel Transport Mission Systems (G)</v>
      </c>
      <c r="B156" s="224">
        <f>$B$150</f>
        <v>4</v>
      </c>
      <c r="C156" s="233">
        <f t="shared" si="25"/>
        <v>2</v>
      </c>
      <c r="D156" s="225">
        <v>1</v>
      </c>
      <c r="E156" s="225"/>
      <c r="F156" s="226"/>
      <c r="G156" s="232">
        <v>0</v>
      </c>
    </row>
    <row r="157" spans="1:10" x14ac:dyDescent="0.2">
      <c r="A157" s="555" t="str">
        <f t="shared" si="24"/>
        <v>Ready MH-60S SAR\MEDIVAC Mission Systems (H)</v>
      </c>
      <c r="B157" s="224">
        <f>$B$150</f>
        <v>4</v>
      </c>
      <c r="C157" s="233">
        <f t="shared" si="25"/>
        <v>2</v>
      </c>
      <c r="D157" s="225">
        <v>1</v>
      </c>
      <c r="E157" s="225"/>
      <c r="F157" s="226"/>
      <c r="G157" s="232">
        <v>0</v>
      </c>
    </row>
    <row r="158" spans="1:10" x14ac:dyDescent="0.2">
      <c r="A158" s="555" t="str">
        <f t="shared" si="24"/>
        <v>Ready MH-60S Mission Support Systems (I)</v>
      </c>
      <c r="B158" s="224" t="s">
        <v>227</v>
      </c>
      <c r="C158" s="233"/>
      <c r="D158" s="225"/>
      <c r="E158" s="225"/>
      <c r="F158" s="226"/>
      <c r="G158" s="232"/>
    </row>
    <row r="159" spans="1:10" x14ac:dyDescent="0.2">
      <c r="A159" s="555" t="str">
        <f t="shared" si="24"/>
        <v>Ready MH-60S Fixed Forward Firing Systems (J)</v>
      </c>
      <c r="B159" s="224">
        <f>$B$150</f>
        <v>4</v>
      </c>
      <c r="C159" s="233">
        <f t="shared" si="25"/>
        <v>2</v>
      </c>
      <c r="D159" s="225">
        <v>1</v>
      </c>
      <c r="E159" s="225"/>
      <c r="F159" s="226"/>
      <c r="G159" s="232">
        <v>0</v>
      </c>
    </row>
    <row r="160" spans="1:10" x14ac:dyDescent="0.2">
      <c r="A160" s="555" t="str">
        <f t="shared" si="24"/>
        <v>Ready MH-60S Shipboard Mission Systems (K)</v>
      </c>
      <c r="B160" s="224">
        <f>$B$150</f>
        <v>4</v>
      </c>
      <c r="C160" s="233">
        <f t="shared" si="25"/>
        <v>3</v>
      </c>
      <c r="D160" s="225">
        <v>2</v>
      </c>
      <c r="E160" s="225"/>
      <c r="F160" s="226">
        <v>1</v>
      </c>
      <c r="G160" s="227">
        <v>0</v>
      </c>
    </row>
    <row r="161" spans="1:7" ht="12.75" thickBot="1" x14ac:dyDescent="0.25">
      <c r="A161" s="555" t="str">
        <f t="shared" si="24"/>
        <v>Ready MH-60S IMC Flight Mission Systems (L)</v>
      </c>
      <c r="B161" s="224">
        <f>$B$150</f>
        <v>4</v>
      </c>
      <c r="C161" s="233">
        <f t="shared" si="25"/>
        <v>3</v>
      </c>
      <c r="D161" s="225">
        <v>2</v>
      </c>
      <c r="E161" s="225"/>
      <c r="F161" s="226">
        <v>1</v>
      </c>
      <c r="G161" s="227">
        <v>0</v>
      </c>
    </row>
    <row r="162" spans="1:7" ht="12.75" thickBot="1" x14ac:dyDescent="0.25">
      <c r="A162" s="553" t="str">
        <f t="shared" si="24"/>
        <v>Non-Integrated Mission Systems</v>
      </c>
      <c r="B162" s="297"/>
      <c r="C162" s="297"/>
      <c r="D162" s="297"/>
      <c r="E162" s="297"/>
      <c r="F162" s="297"/>
      <c r="G162" s="298"/>
    </row>
    <row r="163" spans="1:7" x14ac:dyDescent="0.2">
      <c r="A163" s="557" t="str">
        <f t="shared" si="24"/>
        <v>Assigned M-299 Sets</v>
      </c>
      <c r="B163" s="233" t="s">
        <v>227</v>
      </c>
      <c r="C163" s="224"/>
      <c r="D163" s="234"/>
      <c r="E163" s="234"/>
      <c r="F163" s="235"/>
      <c r="G163" s="302"/>
    </row>
    <row r="164" spans="1:7" x14ac:dyDescent="0.2">
      <c r="A164" s="558" t="str">
        <f t="shared" si="24"/>
        <v>Ready M-299 Sets</v>
      </c>
      <c r="B164" s="224" t="s">
        <v>227</v>
      </c>
      <c r="C164" s="224"/>
      <c r="D164" s="225"/>
      <c r="E164" s="225"/>
      <c r="F164" s="226"/>
      <c r="G164" s="295"/>
    </row>
    <row r="165" spans="1:7" x14ac:dyDescent="0.2">
      <c r="A165" s="558" t="str">
        <f t="shared" si="24"/>
        <v>Assigned 20-mm Sets</v>
      </c>
      <c r="B165" s="224" t="s">
        <v>227</v>
      </c>
      <c r="C165" s="224"/>
      <c r="D165" s="225"/>
      <c r="E165" s="225"/>
      <c r="F165" s="226"/>
      <c r="G165" s="295"/>
    </row>
    <row r="166" spans="1:7" x14ac:dyDescent="0.2">
      <c r="A166" s="558" t="str">
        <f t="shared" si="24"/>
        <v>Ready 20-mm Sets</v>
      </c>
      <c r="B166" s="224" t="s">
        <v>227</v>
      </c>
      <c r="C166" s="224"/>
      <c r="D166" s="225"/>
      <c r="E166" s="225"/>
      <c r="F166" s="226"/>
      <c r="G166" s="295"/>
    </row>
    <row r="167" spans="1:7" x14ac:dyDescent="0.2">
      <c r="A167" s="558" t="str">
        <f t="shared" si="24"/>
        <v>Assigned GAU-21 Sets</v>
      </c>
      <c r="B167" s="233" t="s">
        <v>227</v>
      </c>
      <c r="C167" s="224"/>
      <c r="D167" s="234"/>
      <c r="E167" s="234"/>
      <c r="F167" s="235"/>
      <c r="G167" s="302"/>
    </row>
    <row r="168" spans="1:7" x14ac:dyDescent="0.2">
      <c r="A168" s="558" t="str">
        <f t="shared" si="24"/>
        <v>Ready GAU-21 Sets</v>
      </c>
      <c r="B168" s="224" t="s">
        <v>227</v>
      </c>
      <c r="C168" s="224"/>
      <c r="D168" s="225"/>
      <c r="E168" s="225"/>
      <c r="F168" s="226"/>
      <c r="G168" s="295"/>
    </row>
    <row r="169" spans="1:7" x14ac:dyDescent="0.2">
      <c r="A169" s="558" t="str">
        <f t="shared" si="24"/>
        <v>Assigned M-240 Sets</v>
      </c>
      <c r="B169" s="233">
        <v>3</v>
      </c>
      <c r="C169" s="224"/>
      <c r="D169" s="234">
        <v>2</v>
      </c>
      <c r="E169" s="234"/>
      <c r="F169" s="235">
        <v>1</v>
      </c>
      <c r="G169" s="302">
        <v>0</v>
      </c>
    </row>
    <row r="170" spans="1:7" x14ac:dyDescent="0.2">
      <c r="A170" s="558" t="str">
        <f t="shared" si="24"/>
        <v>Ready M-240 Sets</v>
      </c>
      <c r="B170" s="224">
        <v>3</v>
      </c>
      <c r="C170" s="224">
        <v>2</v>
      </c>
      <c r="D170" s="225">
        <v>1</v>
      </c>
      <c r="E170" s="225"/>
      <c r="F170" s="226"/>
      <c r="G170" s="295">
        <v>0</v>
      </c>
    </row>
    <row r="171" spans="1:7" x14ac:dyDescent="0.2">
      <c r="A171" s="558" t="str">
        <f t="shared" si="24"/>
        <v>Assigned Full Motion Video Systems</v>
      </c>
      <c r="B171" s="224" t="s">
        <v>227</v>
      </c>
      <c r="C171" s="224"/>
      <c r="D171" s="225"/>
      <c r="E171" s="225"/>
      <c r="F171" s="226"/>
      <c r="G171" s="295"/>
    </row>
    <row r="172" spans="1:7" ht="12.75" thickBot="1" x14ac:dyDescent="0.25">
      <c r="A172" s="559" t="str">
        <f t="shared" si="24"/>
        <v>Ready Full Motion Video Systems</v>
      </c>
      <c r="B172" s="237" t="s">
        <v>227</v>
      </c>
      <c r="C172" s="237"/>
      <c r="D172" s="238"/>
      <c r="E172" s="238"/>
      <c r="F172" s="239"/>
      <c r="G172" s="296"/>
    </row>
    <row r="175" spans="1:7" x14ac:dyDescent="0.2">
      <c r="A175" s="631" t="s">
        <v>228</v>
      </c>
      <c r="B175" s="631" t="s">
        <v>262</v>
      </c>
    </row>
    <row r="176" spans="1:7" x14ac:dyDescent="0.2">
      <c r="A176" s="632" t="s">
        <v>230</v>
      </c>
      <c r="B176" s="670">
        <f>HLOOKUP($B$175,'MH-60S Mission System Summary'!$B$1:$J$12,2,FALSE)</f>
        <v>0.80146172131747528</v>
      </c>
    </row>
    <row r="177" spans="1:2" x14ac:dyDescent="0.2">
      <c r="A177" s="632" t="str">
        <f t="shared" ref="A177:A186" si="26">A39</f>
        <v>Ready MH-60S Cargo Transport Mission Systems (C)</v>
      </c>
      <c r="B177" s="670">
        <f>HLOOKUP($B$175,'MH-60S Mission System Summary'!$B$1:$J$12,3,FALSE)</f>
        <v>0.67898958610247429</v>
      </c>
    </row>
    <row r="178" spans="1:2" x14ac:dyDescent="0.2">
      <c r="A178" s="632" t="str">
        <f t="shared" si="26"/>
        <v>Ready MH-60S Airborne Mine Counter Measures (AMCM) Mission Systems (D)</v>
      </c>
      <c r="B178" s="670">
        <f>HLOOKUP($B$175,'MH-60S Mission System Summary'!$B$1:$J$12,4,FALSE)</f>
        <v>0</v>
      </c>
    </row>
    <row r="179" spans="1:2" x14ac:dyDescent="0.2">
      <c r="A179" s="632" t="str">
        <f t="shared" si="26"/>
        <v>Ready MH-60S Active/Passive Countermeasures Mission Systems (E)</v>
      </c>
      <c r="B179" s="670">
        <f>HLOOKUP($B$175,'MH-60S Mission System Summary'!$B$1:$J$12,5,FALSE)</f>
        <v>0.72539557784995179</v>
      </c>
    </row>
    <row r="180" spans="1:2" x14ac:dyDescent="0.2">
      <c r="A180" s="632" t="str">
        <f t="shared" si="26"/>
        <v>Ready MH-60S CSAR, SUW, and Spec Warfare Mission Systems (F)</v>
      </c>
      <c r="B180" s="670">
        <f>HLOOKUP($B$175,'MH-60S Mission System Summary'!$B$1:$J$12,6,FALSE)</f>
        <v>0.72539557784995179</v>
      </c>
    </row>
    <row r="181" spans="1:2" x14ac:dyDescent="0.2">
      <c r="A181" s="632" t="str">
        <f t="shared" si="26"/>
        <v>Ready MH-60S Personnel Transport Mission Systems (G)</v>
      </c>
      <c r="B181" s="670">
        <f>HLOOKUP($B$175,'MH-60S Mission System Summary'!$B$1:$J$12,7,FALSE)</f>
        <v>0.61053063488944603</v>
      </c>
    </row>
    <row r="182" spans="1:2" x14ac:dyDescent="0.2">
      <c r="A182" s="632" t="str">
        <f t="shared" si="26"/>
        <v>Ready MH-60S SAR\MEDIVAC Mission Systems (H)</v>
      </c>
      <c r="B182" s="670">
        <f>HLOOKUP($B$175,'MH-60S Mission System Summary'!$B$1:$J$12,8,FALSE)</f>
        <v>0.61053063488944603</v>
      </c>
    </row>
    <row r="183" spans="1:2" x14ac:dyDescent="0.2">
      <c r="A183" s="632" t="str">
        <f t="shared" si="26"/>
        <v>Ready MH-60S Mission Support Systems (I)</v>
      </c>
      <c r="B183" s="670">
        <f>HLOOKUP($B$175,'MH-60S Mission System Summary'!$B$1:$J$12,9,FALSE)</f>
        <v>0</v>
      </c>
    </row>
    <row r="184" spans="1:2" x14ac:dyDescent="0.2">
      <c r="A184" s="632" t="str">
        <f t="shared" si="26"/>
        <v>Ready MH-60S Fixed Forward Firing Systems (J)</v>
      </c>
      <c r="B184" s="670">
        <f>HLOOKUP($B$175,'MH-60S Mission System Summary'!$B$1:$J$12,10,FALSE)</f>
        <v>0.72539557784995179</v>
      </c>
    </row>
    <row r="185" spans="1:2" x14ac:dyDescent="0.2">
      <c r="A185" s="632" t="str">
        <f t="shared" si="26"/>
        <v>Ready MH-60S Shipboard Mission Systems (K)</v>
      </c>
      <c r="B185" s="670">
        <f>HLOOKUP($B$175,'MH-60S Mission System Summary'!$B$1:$J$12,11,FALSE)</f>
        <v>0.25508269859799576</v>
      </c>
    </row>
    <row r="186" spans="1:2" x14ac:dyDescent="0.2">
      <c r="A186" s="632" t="str">
        <f t="shared" si="26"/>
        <v>Ready MH-60S IMC Flight Mission Systems (L)</v>
      </c>
      <c r="B186" s="670">
        <f>HLOOKUP($B$175,'MH-60S Mission System Summary'!$B$1:$J$12,12,FALSE)</f>
        <v>1</v>
      </c>
    </row>
  </sheetData>
  <mergeCells count="8">
    <mergeCell ref="B147:C147"/>
    <mergeCell ref="D147:E147"/>
    <mergeCell ref="F147:G147"/>
    <mergeCell ref="M1:P1"/>
    <mergeCell ref="A98:E98"/>
    <mergeCell ref="A108:B108"/>
    <mergeCell ref="A109:B109"/>
    <mergeCell ref="A143:B143"/>
  </mergeCells>
  <conditionalFormatting sqref="C149:C150 C164:C166">
    <cfRule type="cellIs" dxfId="223" priority="53" operator="equal">
      <formula>B149</formula>
    </cfRule>
  </conditionalFormatting>
  <conditionalFormatting sqref="D149:E150 D163:E166 D152:E153 D158:E158 D161:E161">
    <cfRule type="cellIs" dxfId="222" priority="52" operator="equal">
      <formula>C149</formula>
    </cfRule>
  </conditionalFormatting>
  <conditionalFormatting sqref="E149">
    <cfRule type="cellIs" dxfId="221" priority="51" operator="equal">
      <formula>D149</formula>
    </cfRule>
  </conditionalFormatting>
  <conditionalFormatting sqref="F149">
    <cfRule type="cellIs" dxfId="220" priority="50" operator="equal">
      <formula>E149</formula>
    </cfRule>
  </conditionalFormatting>
  <conditionalFormatting sqref="F150 F163:F164 F152:F153 F158 F161">
    <cfRule type="cellIs" dxfId="219" priority="48" operator="equal">
      <formula>G150</formula>
    </cfRule>
    <cfRule type="cellIs" dxfId="218" priority="49" operator="equal">
      <formula>E150</formula>
    </cfRule>
  </conditionalFormatting>
  <conditionalFormatting sqref="F165:F166">
    <cfRule type="cellIs" dxfId="217" priority="46" operator="equal">
      <formula>G165</formula>
    </cfRule>
    <cfRule type="cellIs" dxfId="216" priority="47" operator="equal">
      <formula>E165</formula>
    </cfRule>
  </conditionalFormatting>
  <conditionalFormatting sqref="F172">
    <cfRule type="cellIs" dxfId="215" priority="44" operator="equal">
      <formula>G134</formula>
    </cfRule>
    <cfRule type="cellIs" dxfId="214" priority="45" operator="equal">
      <formula>E134</formula>
    </cfRule>
  </conditionalFormatting>
  <conditionalFormatting sqref="F171">
    <cfRule type="cellIs" dxfId="213" priority="54" operator="equal">
      <formula>#REF!</formula>
    </cfRule>
    <cfRule type="cellIs" dxfId="212" priority="55" operator="equal">
      <formula>E132</formula>
    </cfRule>
  </conditionalFormatting>
  <conditionalFormatting sqref="D171:E172">
    <cfRule type="cellIs" dxfId="211" priority="56" operator="equal">
      <formula>C132</formula>
    </cfRule>
  </conditionalFormatting>
  <conditionalFormatting sqref="C171:C172">
    <cfRule type="cellIs" dxfId="210" priority="57" operator="equal">
      <formula>B132</formula>
    </cfRule>
  </conditionalFormatting>
  <conditionalFormatting sqref="D154:E154">
    <cfRule type="cellIs" dxfId="209" priority="42" operator="equal">
      <formula>C154</formula>
    </cfRule>
  </conditionalFormatting>
  <conditionalFormatting sqref="F154">
    <cfRule type="cellIs" dxfId="208" priority="40" operator="equal">
      <formula>G154</formula>
    </cfRule>
    <cfRule type="cellIs" dxfId="207" priority="41" operator="equal">
      <formula>E154</formula>
    </cfRule>
  </conditionalFormatting>
  <conditionalFormatting sqref="D155:E155">
    <cfRule type="cellIs" dxfId="206" priority="38" operator="equal">
      <formula>C155</formula>
    </cfRule>
  </conditionalFormatting>
  <conditionalFormatting sqref="F155">
    <cfRule type="cellIs" dxfId="205" priority="36" operator="equal">
      <formula>G155</formula>
    </cfRule>
    <cfRule type="cellIs" dxfId="204" priority="37" operator="equal">
      <formula>E155</formula>
    </cfRule>
  </conditionalFormatting>
  <conditionalFormatting sqref="D156:E156">
    <cfRule type="cellIs" dxfId="203" priority="34" operator="equal">
      <formula>C156</formula>
    </cfRule>
  </conditionalFormatting>
  <conditionalFormatting sqref="F156">
    <cfRule type="cellIs" dxfId="202" priority="32" operator="equal">
      <formula>G156</formula>
    </cfRule>
    <cfRule type="cellIs" dxfId="201" priority="33" operator="equal">
      <formula>E156</formula>
    </cfRule>
  </conditionalFormatting>
  <conditionalFormatting sqref="D157:E157">
    <cfRule type="cellIs" dxfId="200" priority="30" operator="equal">
      <formula>C157</formula>
    </cfRule>
  </conditionalFormatting>
  <conditionalFormatting sqref="F157">
    <cfRule type="cellIs" dxfId="199" priority="28" operator="equal">
      <formula>G157</formula>
    </cfRule>
    <cfRule type="cellIs" dxfId="198" priority="29" operator="equal">
      <formula>E157</formula>
    </cfRule>
  </conditionalFormatting>
  <conditionalFormatting sqref="D159:E159">
    <cfRule type="cellIs" dxfId="197" priority="26" operator="equal">
      <formula>C159</formula>
    </cfRule>
  </conditionalFormatting>
  <conditionalFormatting sqref="F159">
    <cfRule type="cellIs" dxfId="196" priority="24" operator="equal">
      <formula>G159</formula>
    </cfRule>
    <cfRule type="cellIs" dxfId="195" priority="25" operator="equal">
      <formula>E159</formula>
    </cfRule>
  </conditionalFormatting>
  <conditionalFormatting sqref="D160:E160">
    <cfRule type="cellIs" dxfId="194" priority="22" operator="equal">
      <formula>C160</formula>
    </cfRule>
  </conditionalFormatting>
  <conditionalFormatting sqref="F160">
    <cfRule type="cellIs" dxfId="193" priority="20" operator="equal">
      <formula>G160</formula>
    </cfRule>
    <cfRule type="cellIs" dxfId="192" priority="21" operator="equal">
      <formula>E160</formula>
    </cfRule>
  </conditionalFormatting>
  <conditionalFormatting sqref="C163">
    <cfRule type="cellIs" dxfId="191" priority="19" operator="equal">
      <formula>B163</formula>
    </cfRule>
  </conditionalFormatting>
  <conditionalFormatting sqref="C168">
    <cfRule type="cellIs" dxfId="190" priority="18" operator="equal">
      <formula>B168</formula>
    </cfRule>
  </conditionalFormatting>
  <conditionalFormatting sqref="D167:E168">
    <cfRule type="cellIs" dxfId="189" priority="17" operator="equal">
      <formula>C167</formula>
    </cfRule>
  </conditionalFormatting>
  <conditionalFormatting sqref="F167:F168">
    <cfRule type="cellIs" dxfId="188" priority="15" operator="equal">
      <formula>G167</formula>
    </cfRule>
    <cfRule type="cellIs" dxfId="187" priority="16" operator="equal">
      <formula>E167</formula>
    </cfRule>
  </conditionalFormatting>
  <conditionalFormatting sqref="C167">
    <cfRule type="cellIs" dxfId="186" priority="14" operator="equal">
      <formula>B167</formula>
    </cfRule>
  </conditionalFormatting>
  <conditionalFormatting sqref="C170">
    <cfRule type="cellIs" dxfId="185" priority="13" operator="equal">
      <formula>B170</formula>
    </cfRule>
  </conditionalFormatting>
  <conditionalFormatting sqref="D169:E170">
    <cfRule type="cellIs" dxfId="184" priority="12" operator="equal">
      <formula>C169</formula>
    </cfRule>
  </conditionalFormatting>
  <conditionalFormatting sqref="F169:F170">
    <cfRule type="cellIs" dxfId="183" priority="10" operator="equal">
      <formula>G169</formula>
    </cfRule>
    <cfRule type="cellIs" dxfId="182" priority="11" operator="equal">
      <formula>E169</formula>
    </cfRule>
  </conditionalFormatting>
  <conditionalFormatting sqref="C169">
    <cfRule type="cellIs" dxfId="181" priority="9" operator="equal">
      <formula>B169</formula>
    </cfRule>
  </conditionalFormatting>
  <conditionalFormatting sqref="B152:B153 B158 B161">
    <cfRule type="cellIs" dxfId="180" priority="8" operator="equal">
      <formula>A152</formula>
    </cfRule>
  </conditionalFormatting>
  <conditionalFormatting sqref="B154">
    <cfRule type="cellIs" dxfId="179" priority="7" operator="equal">
      <formula>A154</formula>
    </cfRule>
  </conditionalFormatting>
  <conditionalFormatting sqref="B155">
    <cfRule type="cellIs" dxfId="178" priority="6" operator="equal">
      <formula>A155</formula>
    </cfRule>
  </conditionalFormatting>
  <conditionalFormatting sqref="B156">
    <cfRule type="cellIs" dxfId="177" priority="5" operator="equal">
      <formula>A156</formula>
    </cfRule>
  </conditionalFormatting>
  <conditionalFormatting sqref="B157">
    <cfRule type="cellIs" dxfId="176" priority="4" operator="equal">
      <formula>A157</formula>
    </cfRule>
  </conditionalFormatting>
  <conditionalFormatting sqref="B159">
    <cfRule type="cellIs" dxfId="175" priority="3" operator="equal">
      <formula>A159</formula>
    </cfRule>
  </conditionalFormatting>
  <conditionalFormatting sqref="B160">
    <cfRule type="cellIs" dxfId="174" priority="2" operator="equal">
      <formula>A160</formula>
    </cfRule>
  </conditionalFormatting>
  <conditionalFormatting sqref="C152:C161">
    <cfRule type="cellIs" dxfId="173" priority="1" operator="equal">
      <formula>B152</formula>
    </cfRule>
  </conditionalFormatting>
  <hyperlinks>
    <hyperlink ref="H1" location="Inventory!A1" display="Inventory" xr:uid="{00000000-0004-0000-0800-000000000000}"/>
    <hyperlink ref="I147" location="'HSC EXP 4AC RFS DRRS'!A1" display="Top" xr:uid="{00000000-0004-0000-0800-000001000000}"/>
    <hyperlink ref="H2" location="'HSC EXP 4AC RFS DRRS'!A165" display="AMFOM" xr:uid="{00000000-0004-0000-0800-000002000000}"/>
    <hyperlink ref="I148" location="Inventory!A1" display="Inventory" xr:uid="{00000000-0004-0000-0800-000003000000}"/>
  </hyperlinks>
  <printOptions horizontalCentered="1" verticalCentered="1"/>
  <pageMargins left="0.5" right="0.25" top="0.5" bottom="0.5" header="0.5" footer="0.5"/>
  <pageSetup scale="28"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EBCDAB2F88775145B114997D7E3EC086" ma:contentTypeVersion="5" ma:contentTypeDescription="Create a new document." ma:contentTypeScope="" ma:versionID="ac8e86be52442a466a4d1d49b35ea697">
  <xsd:schema xmlns:xsd="http://www.w3.org/2001/XMLSchema" xmlns:xs="http://www.w3.org/2001/XMLSchema" xmlns:p="http://schemas.microsoft.com/office/2006/metadata/properties" xmlns:ns2="f33575d1-c635-47cb-9f2e-8b33b5cd6ba3" targetNamespace="http://schemas.microsoft.com/office/2006/metadata/properties" ma:root="true" ma:fieldsID="4f20e3f97fa5e7b089bcd9af969c5083" ns2:_="">
    <xsd:import namespace="f33575d1-c635-47cb-9f2e-8b33b5cd6ba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575d1-c635-47cb-9f2e-8b33b5cd6b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10577A-5F0C-4127-8040-FFA7ACAD71AD}">
  <ds:schemaRefs>
    <ds:schemaRef ds:uri="http://schemas.microsoft.com/sharepoint/v3/contenttype/forms"/>
  </ds:schemaRefs>
</ds:datastoreItem>
</file>

<file path=customXml/itemProps2.xml><?xml version="1.0" encoding="utf-8"?>
<ds:datastoreItem xmlns:ds="http://schemas.openxmlformats.org/officeDocument/2006/customXml" ds:itemID="{2DE258D9-6B22-4B2A-BB6D-E90F509CA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575d1-c635-47cb-9f2e-8b33b5cd6b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D57799-7C44-4871-9F22-487AFA90DD21}">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f33575d1-c635-47cb-9f2e-8b33b5cd6ba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Inventory</vt:lpstr>
      <vt:lpstr>Log</vt:lpstr>
      <vt:lpstr>HSC CVW 5AC DRRS</vt:lpstr>
      <vt:lpstr>HSC CVW 5AC FDNF DRRS</vt:lpstr>
      <vt:lpstr>HSC EXP 3AC CSG ESG W Kit DRRS</vt:lpstr>
      <vt:lpstr>HSC EXP 1AC MIW DRRS</vt:lpstr>
      <vt:lpstr>HSC EXP 1AC SUW DRRS</vt:lpstr>
      <vt:lpstr>HSC EXP 1AC RFS DRRS</vt:lpstr>
      <vt:lpstr>HSC EXP 4AC RFS DRRS</vt:lpstr>
      <vt:lpstr>HSC EXP 2AC CLF HUM DRRS</vt:lpstr>
      <vt:lpstr>HSC EXP 4AC DRRS (HSC-85)</vt:lpstr>
      <vt:lpstr>HSC HSC-2 FRS (U)</vt:lpstr>
      <vt:lpstr>HSC HSC-3 FRS (U)</vt:lpstr>
      <vt:lpstr>HSC MH-60R TEST_FAS</vt:lpstr>
      <vt:lpstr>HSC MH-60S CVW Reduced Matrix</vt:lpstr>
      <vt:lpstr>HSC EXP MIW Matrix</vt:lpstr>
      <vt:lpstr>HSC EXP SUW Matrix </vt:lpstr>
      <vt:lpstr>HSC EXP 1-4 AC Matrix</vt:lpstr>
      <vt:lpstr>HSC EXP 1-4 AC CLF HUM Matrix</vt:lpstr>
      <vt:lpstr>MH-60S Mission System Summary</vt:lpstr>
      <vt:lpstr>HSC MH-60S Mission Systems</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dc:title>
  <dc:subject/>
  <dc:creator>michael.fleetwood</dc:creator>
  <cp:keywords/>
  <dc:description/>
  <cp:lastModifiedBy>Mark Bodoh</cp:lastModifiedBy>
  <cp:revision/>
  <dcterms:created xsi:type="dcterms:W3CDTF">2008-10-06T13:38:09Z</dcterms:created>
  <dcterms:modified xsi:type="dcterms:W3CDTF">2023-04-06T20:07:48Z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0x010100EBCDAB2F88775145B114997D7E3EC086</vt:lpwstr>
  </property>
  <property fmtid="{D5CDD505-2E9C-101B-9397-08002B2CF9AE}" pid="3" name="MSIP_Label_afe64f26-154f-4743-927e-a7310aa86873_Enabled">
    <vt:lpwstr>true</vt:lpwstr>
  </property>
  <property fmtid="{D5CDD505-2E9C-101B-9397-08002B2CF9AE}" pid="4" name="MSIP_Label_afe64f26-154f-4743-927e-a7310aa86873_SetDate">
    <vt:lpwstr>2023-04-06T20:07:37Z</vt:lpwstr>
  </property>
  <property fmtid="{D5CDD505-2E9C-101B-9397-08002B2CF9AE}" pid="5" name="MSIP_Label_afe64f26-154f-4743-927e-a7310aa86873_Method">
    <vt:lpwstr>Privileged</vt:lpwstr>
  </property>
  <property fmtid="{D5CDD505-2E9C-101B-9397-08002B2CF9AE}" pid="6" name="MSIP_Label_afe64f26-154f-4743-927e-a7310aa86873_Name">
    <vt:lpwstr>GovernmentData</vt:lpwstr>
  </property>
  <property fmtid="{D5CDD505-2E9C-101B-9397-08002B2CF9AE}" pid="7" name="MSIP_Label_afe64f26-154f-4743-927e-a7310aa86873_SiteId">
    <vt:lpwstr>29ac9fa0-83e8-40a8-914f-a74b1c9c46d0</vt:lpwstr>
  </property>
  <property fmtid="{D5CDD505-2E9C-101B-9397-08002B2CF9AE}" pid="8" name="MSIP_Label_afe64f26-154f-4743-927e-a7310aa86873_ActionId">
    <vt:lpwstr>f17f5a4d-bc97-44b4-89ff-bde30be90453</vt:lpwstr>
  </property>
  <property fmtid="{D5CDD505-2E9C-101B-9397-08002B2CF9AE}" pid="9" name="MSIP_Label_afe64f26-154f-4743-927e-a7310aa86873_ContentBits">
    <vt:lpwstr>0</vt:lpwstr>
  </property>
</Properties>
</file>